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0" sheetId="10" r:id="rId1"/>
    <sheet name="Sheet9" sheetId="9" state="hidden" r:id="rId2"/>
    <sheet name="Sheet1" sheetId="1" state="hidden" r:id="rId3"/>
    <sheet name="室外" sheetId="8" state="hidden" r:id="rId4"/>
    <sheet name="改移" sheetId="7" state="hidden" r:id="rId5"/>
    <sheet name="其他1" sheetId="2" state="hidden" r:id="rId6"/>
    <sheet name="其他2" sheetId="6" state="hidden" r:id="rId7"/>
    <sheet name="液氧" sheetId="3" state="hidden" r:id="rId8"/>
    <sheet name="污水" sheetId="4" state="hidden" r:id="rId9"/>
    <sheet name="妇产" sheetId="5" state="hidden" r:id="rId10"/>
  </sheets>
  <externalReferences>
    <externalReference r:id="rId11"/>
    <externalReference r:id="rId12"/>
  </externalReferences>
  <calcPr calcId="144525" fullPrecision="0"/>
</workbook>
</file>

<file path=xl/sharedStrings.xml><?xml version="1.0" encoding="utf-8"?>
<sst xmlns="http://schemas.openxmlformats.org/spreadsheetml/2006/main" count="1465" uniqueCount="267">
  <si>
    <t>国家妇儿区域医疗中心-北京大学第一医院宁夏妇女儿童医院项目概算审定表</t>
  </si>
  <si>
    <t>序号</t>
  </si>
  <si>
    <t>工程或费用名称</t>
  </si>
  <si>
    <t>工程量</t>
  </si>
  <si>
    <t>土建工程费</t>
  </si>
  <si>
    <t>安装工程费</t>
  </si>
  <si>
    <t>设备费</t>
  </si>
  <si>
    <t>其他费用</t>
  </si>
  <si>
    <t>合计</t>
  </si>
  <si>
    <t>一</t>
  </si>
  <si>
    <t>建筑工程费用</t>
  </si>
  <si>
    <t>（一）</t>
  </si>
  <si>
    <t>妇产综合楼</t>
  </si>
  <si>
    <t>67510m2</t>
  </si>
  <si>
    <t>建筑工程</t>
  </si>
  <si>
    <t>装饰工程</t>
  </si>
  <si>
    <t>3</t>
  </si>
  <si>
    <t>给排水工程</t>
  </si>
  <si>
    <t>4</t>
  </si>
  <si>
    <t>供暖通风与空调工程</t>
  </si>
  <si>
    <t>5</t>
  </si>
  <si>
    <t>热能动力工程</t>
  </si>
  <si>
    <t>6</t>
  </si>
  <si>
    <t>电气工程</t>
  </si>
  <si>
    <t>7</t>
  </si>
  <si>
    <t>智能化工程</t>
  </si>
  <si>
    <t>8</t>
  </si>
  <si>
    <t>电梯工程</t>
  </si>
  <si>
    <t>17部</t>
  </si>
  <si>
    <t>9</t>
  </si>
  <si>
    <t>机械停车系统</t>
  </si>
  <si>
    <t>300台</t>
  </si>
  <si>
    <t>10</t>
  </si>
  <si>
    <t>抗震支吊架工程</t>
  </si>
  <si>
    <t>11</t>
  </si>
  <si>
    <t>物流系统</t>
  </si>
  <si>
    <t>20个点位</t>
  </si>
  <si>
    <t>12</t>
  </si>
  <si>
    <t>标识标牌</t>
  </si>
  <si>
    <t>（二）</t>
  </si>
  <si>
    <t>污水处理站</t>
  </si>
  <si>
    <t>300m2</t>
  </si>
  <si>
    <t>给排水设备及安装工程</t>
  </si>
  <si>
    <t>（三）</t>
  </si>
  <si>
    <t>液氧站</t>
  </si>
  <si>
    <t>60m2</t>
  </si>
  <si>
    <t>（四）</t>
  </si>
  <si>
    <t>改移工程</t>
  </si>
  <si>
    <t>1</t>
  </si>
  <si>
    <t>现状科室改造</t>
  </si>
  <si>
    <t>2634m2</t>
  </si>
  <si>
    <t>2</t>
  </si>
  <si>
    <t>锅炉房扩容</t>
  </si>
  <si>
    <t>地下管网改移</t>
  </si>
  <si>
    <t>新老建筑机电系统连接</t>
  </si>
  <si>
    <t>（五）</t>
  </si>
  <si>
    <t>室外工程</t>
  </si>
  <si>
    <t>场坪土石方工程</t>
  </si>
  <si>
    <t>管网工程</t>
  </si>
  <si>
    <t>道路广场</t>
  </si>
  <si>
    <t>绿化工程</t>
  </si>
  <si>
    <t>室外泛光照明</t>
  </si>
  <si>
    <t>标志标识</t>
  </si>
  <si>
    <t>10KV外线工程</t>
  </si>
  <si>
    <t>二</t>
  </si>
  <si>
    <t>工程建设其他费用</t>
  </si>
  <si>
    <t>工程勘察费（含基坑变形监测和建筑物沉降观测）</t>
  </si>
  <si>
    <t>工程设计费</t>
  </si>
  <si>
    <t>项目建议书编制费</t>
  </si>
  <si>
    <t>可行性研究报告</t>
  </si>
  <si>
    <t>招标代理服务费</t>
  </si>
  <si>
    <t>环境影响评价费（含竣工环境监测）</t>
  </si>
  <si>
    <t>工程监理费</t>
  </si>
  <si>
    <t>项目建设管理费</t>
  </si>
  <si>
    <t>施工阶段工程咨询服务费</t>
  </si>
  <si>
    <t>编制清单及招标控制价</t>
  </si>
  <si>
    <t>施工阶段全过程造价控制
（跟踪审计）</t>
  </si>
  <si>
    <t>审核竣工决算</t>
  </si>
  <si>
    <t>高可靠性供电费</t>
  </si>
  <si>
    <t>城市建设配套费</t>
  </si>
  <si>
    <t>天然气管道延伸费</t>
  </si>
  <si>
    <t>节能评价及验收</t>
  </si>
  <si>
    <t>交通影响评价</t>
  </si>
  <si>
    <t>水土保持评价及验收</t>
  </si>
  <si>
    <t>工程保险费</t>
  </si>
  <si>
    <t>工程建设质量检测费</t>
  </si>
  <si>
    <t>放线和规划核实费</t>
  </si>
  <si>
    <t>土方测绘费</t>
  </si>
  <si>
    <t>专项验收费</t>
  </si>
  <si>
    <t>认建认养绿地建设养护费</t>
  </si>
  <si>
    <t>移树费</t>
  </si>
  <si>
    <t>楼层高程测量</t>
  </si>
  <si>
    <t>三</t>
  </si>
  <si>
    <t>预备费</t>
  </si>
  <si>
    <t>基本预备费</t>
  </si>
  <si>
    <t>四</t>
  </si>
  <si>
    <t>医疗设备购置费</t>
  </si>
  <si>
    <t>五</t>
  </si>
  <si>
    <t>信息化建设项目</t>
  </si>
  <si>
    <t>六</t>
  </si>
  <si>
    <t>工程总投资</t>
  </si>
  <si>
    <t>国家妇儿区域医疗中心-北京大学第一医院宁夏妇女儿童医院建设项目初步设计概算审定表</t>
  </si>
  <si>
    <t>1.1</t>
  </si>
  <si>
    <t>基坑支护及降排水工程</t>
  </si>
  <si>
    <t>16660m2</t>
  </si>
  <si>
    <t>1.2</t>
  </si>
  <si>
    <t>地下建筑工程</t>
  </si>
  <si>
    <t>1.3</t>
  </si>
  <si>
    <t>隔震技术措施</t>
  </si>
  <si>
    <t>1.4</t>
  </si>
  <si>
    <t>地上建筑工程</t>
  </si>
  <si>
    <t>50850m2</t>
  </si>
  <si>
    <t>地下装饰工程</t>
  </si>
  <si>
    <t>地上装饰工程</t>
  </si>
  <si>
    <t>2.3</t>
  </si>
  <si>
    <t>外装饰工程</t>
  </si>
  <si>
    <t>3.1</t>
  </si>
  <si>
    <t>给排水系统</t>
  </si>
  <si>
    <t>3.2</t>
  </si>
  <si>
    <t>消防系统</t>
  </si>
  <si>
    <t>4.1</t>
  </si>
  <si>
    <t>采暖工程</t>
  </si>
  <si>
    <t>4.2</t>
  </si>
  <si>
    <t>通风空调工程</t>
  </si>
  <si>
    <t>5.1</t>
  </si>
  <si>
    <t>动力工程</t>
  </si>
  <si>
    <t>5.2</t>
  </si>
  <si>
    <t>医疗气体工程</t>
  </si>
  <si>
    <t>6.1</t>
  </si>
  <si>
    <t>变配电系统（含柴发系统）</t>
  </si>
  <si>
    <t>6.2</t>
  </si>
  <si>
    <t>配电照明系统（含防雷接地）</t>
  </si>
  <si>
    <t>7.1</t>
  </si>
  <si>
    <t>消防自动报警及联动控制系统工程</t>
  </si>
  <si>
    <t>7.2</t>
  </si>
  <si>
    <t>紧急广播及背景音乐系统</t>
  </si>
  <si>
    <t>7.3</t>
  </si>
  <si>
    <t>防火门监控系统</t>
  </si>
  <si>
    <t>7.4</t>
  </si>
  <si>
    <t>余压监控系统</t>
  </si>
  <si>
    <t>7.5</t>
  </si>
  <si>
    <t>综合布线系统</t>
  </si>
  <si>
    <t>7.6</t>
  </si>
  <si>
    <t>有线电视系统</t>
  </si>
  <si>
    <t>7.7</t>
  </si>
  <si>
    <t>设备网</t>
  </si>
  <si>
    <t>7.8</t>
  </si>
  <si>
    <t>安防监视系统及入侵报警系统</t>
  </si>
  <si>
    <t>7.9</t>
  </si>
  <si>
    <t>出入口控制及一卡通管理系统</t>
  </si>
  <si>
    <t>7.10</t>
  </si>
  <si>
    <t>停车场管理及车位引导系统</t>
  </si>
  <si>
    <t>7.11</t>
  </si>
  <si>
    <t>医护对讲系统</t>
  </si>
  <si>
    <t>7.12</t>
  </si>
  <si>
    <t>病房探视系统</t>
  </si>
  <si>
    <t>7.13</t>
  </si>
  <si>
    <t>电子叫号系统、信息发布系统</t>
  </si>
  <si>
    <t>7.14</t>
  </si>
  <si>
    <t>会议系统</t>
  </si>
  <si>
    <t>7.15</t>
  </si>
  <si>
    <t>手术示教系统（预留管线）</t>
  </si>
  <si>
    <t>7.16</t>
  </si>
  <si>
    <t>手术部对讲系统</t>
  </si>
  <si>
    <t>7.17</t>
  </si>
  <si>
    <t>远程会诊系统</t>
  </si>
  <si>
    <t>7.18</t>
  </si>
  <si>
    <t>时钟系统</t>
  </si>
  <si>
    <t>7.19</t>
  </si>
  <si>
    <t>智能卡系统</t>
  </si>
  <si>
    <t>7.20</t>
  </si>
  <si>
    <t>热水卡控系统</t>
  </si>
  <si>
    <t>7.21</t>
  </si>
  <si>
    <t>五方电梯系统</t>
  </si>
  <si>
    <t>7.22</t>
  </si>
  <si>
    <t>建筑设备监控系统</t>
  </si>
  <si>
    <t>7.23</t>
  </si>
  <si>
    <t>能耗监管系统</t>
  </si>
  <si>
    <t>7.24</t>
  </si>
  <si>
    <t>智能化系统集成</t>
  </si>
  <si>
    <t>7.25</t>
  </si>
  <si>
    <t>机房工程</t>
  </si>
  <si>
    <t>7.26</t>
  </si>
  <si>
    <t>物联网定位系统</t>
  </si>
  <si>
    <t>火灾自动报警系统</t>
  </si>
  <si>
    <t>6.3</t>
  </si>
  <si>
    <t>6.4</t>
  </si>
  <si>
    <t>6.5</t>
  </si>
  <si>
    <t>视频监控及入侵报警系统</t>
  </si>
  <si>
    <t>6.6</t>
  </si>
  <si>
    <t>6.7</t>
  </si>
  <si>
    <t>2.1</t>
  </si>
  <si>
    <t>给排水管网工程</t>
  </si>
  <si>
    <t>2.2</t>
  </si>
  <si>
    <t>2.4</t>
  </si>
  <si>
    <t>强电工程</t>
  </si>
  <si>
    <t>2.5</t>
  </si>
  <si>
    <t>弱电工程</t>
  </si>
  <si>
    <t>工程招标代理</t>
  </si>
  <si>
    <t>勘察设计招标代理</t>
  </si>
  <si>
    <t>监理招标代理</t>
  </si>
  <si>
    <t>审核竣工结算</t>
  </si>
  <si>
    <t>BIM设计费</t>
  </si>
  <si>
    <r>
      <rPr>
        <sz val="11"/>
        <rFont val="等线"/>
        <charset val="134"/>
        <scheme val="minor"/>
      </rPr>
      <t>2</t>
    </r>
    <r>
      <rPr>
        <sz val="11"/>
        <rFont val="等线"/>
        <charset val="134"/>
        <scheme val="minor"/>
      </rPr>
      <t>.2</t>
    </r>
  </si>
  <si>
    <r>
      <rPr>
        <sz val="11"/>
        <rFont val="等线"/>
        <charset val="134"/>
        <scheme val="minor"/>
      </rPr>
      <t>2</t>
    </r>
    <r>
      <rPr>
        <sz val="11"/>
        <rFont val="等线"/>
        <charset val="134"/>
        <scheme val="minor"/>
      </rPr>
      <t>.3</t>
    </r>
  </si>
  <si>
    <r>
      <rPr>
        <sz val="11"/>
        <rFont val="等线"/>
        <charset val="134"/>
        <scheme val="minor"/>
      </rPr>
      <t>2</t>
    </r>
    <r>
      <rPr>
        <sz val="11"/>
        <rFont val="等线"/>
        <charset val="134"/>
        <scheme val="minor"/>
      </rPr>
      <t>.5</t>
    </r>
  </si>
  <si>
    <r>
      <rPr>
        <b/>
        <sz val="14"/>
        <color rgb="FF000000"/>
        <rFont val="宋体"/>
        <charset val="134"/>
      </rPr>
      <t>综 合</t>
    </r>
    <r>
      <rPr>
        <b/>
        <sz val="14"/>
        <color rgb="FF000000"/>
        <rFont val="Times New Roman"/>
        <charset val="134"/>
      </rPr>
      <t xml:space="preserve">  </t>
    </r>
    <r>
      <rPr>
        <b/>
        <sz val="14"/>
        <color rgb="FF000000"/>
        <rFont val="宋体"/>
        <charset val="134"/>
      </rPr>
      <t>概</t>
    </r>
    <r>
      <rPr>
        <b/>
        <sz val="14"/>
        <color rgb="FF000000"/>
        <rFont val="Times New Roman"/>
        <charset val="134"/>
      </rPr>
      <t xml:space="preserve">  </t>
    </r>
    <r>
      <rPr>
        <b/>
        <sz val="14"/>
        <color rgb="FF000000"/>
        <rFont val="宋体"/>
        <charset val="134"/>
      </rPr>
      <t>算</t>
    </r>
    <r>
      <rPr>
        <b/>
        <sz val="14"/>
        <color rgb="FF000000"/>
        <rFont val="Times New Roman"/>
        <charset val="134"/>
      </rPr>
      <t xml:space="preserve">  </t>
    </r>
    <r>
      <rPr>
        <b/>
        <sz val="14"/>
        <color rgb="FF000000"/>
        <rFont val="宋体"/>
        <charset val="134"/>
      </rPr>
      <t>表</t>
    </r>
  </si>
  <si>
    <t>建设项目：国家妇儿区域医疗中心-北京大学第一医院宁夏妇女儿童医院建设项目-室外工程</t>
  </si>
  <si>
    <t>工程和费用名称</t>
  </si>
  <si>
    <t>概算价值（万元）</t>
  </si>
  <si>
    <t>技术经济指标</t>
  </si>
  <si>
    <t>备注</t>
  </si>
  <si>
    <t>建筑工程费</t>
  </si>
  <si>
    <t>设备购置费</t>
  </si>
  <si>
    <t>计量指标</t>
  </si>
  <si>
    <t>单位</t>
  </si>
  <si>
    <t>数量</t>
  </si>
  <si>
    <t>单位造价（元）</t>
  </si>
  <si>
    <t>占投资额</t>
  </si>
  <si>
    <t>土方量</t>
  </si>
  <si>
    <r>
      <rPr>
        <sz val="11"/>
        <rFont val="等线"/>
        <charset val="134"/>
        <scheme val="minor"/>
      </rPr>
      <t>m</t>
    </r>
    <r>
      <rPr>
        <vertAlign val="superscript"/>
        <sz val="11"/>
        <color theme="1"/>
        <rFont val="等线"/>
        <charset val="134"/>
        <scheme val="minor"/>
      </rPr>
      <t>3</t>
    </r>
  </si>
  <si>
    <t>面积</t>
  </si>
  <si>
    <r>
      <rPr>
        <sz val="11"/>
        <rFont val="等线"/>
        <charset val="134"/>
        <scheme val="minor"/>
      </rPr>
      <t>m</t>
    </r>
    <r>
      <rPr>
        <vertAlign val="superscript"/>
        <sz val="11"/>
        <rFont val="等线"/>
        <charset val="134"/>
        <scheme val="minor"/>
      </rPr>
      <t>2</t>
    </r>
  </si>
  <si>
    <t>绿化面积</t>
  </si>
  <si>
    <t>构筑物工程</t>
  </si>
  <si>
    <t>大门工程</t>
  </si>
  <si>
    <t>座</t>
  </si>
  <si>
    <t>围墙工程</t>
  </si>
  <si>
    <t>延长米</t>
  </si>
  <si>
    <t>m</t>
  </si>
  <si>
    <t>连廊工程</t>
  </si>
  <si>
    <t>人防出入口工程</t>
  </si>
  <si>
    <t>直升机停机坪工程</t>
  </si>
  <si>
    <t>雨水调蓄池工程</t>
  </si>
  <si>
    <t>衰变池工程</t>
  </si>
  <si>
    <t>6.8</t>
  </si>
  <si>
    <t>地铁接驳工程</t>
  </si>
  <si>
    <t>6.9</t>
  </si>
  <si>
    <t>……</t>
  </si>
  <si>
    <t>项</t>
  </si>
  <si>
    <t>建设项目：国家妇儿区域医疗中心-北京大学第一医院宁夏妇女儿童医院建设项目-改移工程</t>
  </si>
  <si>
    <t>改造面积</t>
  </si>
  <si>
    <t>用地面积</t>
  </si>
  <si>
    <t>热力管道工程</t>
  </si>
  <si>
    <r>
      <rPr>
        <sz val="11"/>
        <rFont val="等线"/>
        <charset val="134"/>
        <scheme val="minor"/>
      </rPr>
      <t>3</t>
    </r>
    <r>
      <rPr>
        <sz val="11"/>
        <rFont val="等线"/>
        <charset val="134"/>
        <scheme val="minor"/>
      </rPr>
      <t>.1</t>
    </r>
  </si>
  <si>
    <t>2.6</t>
  </si>
  <si>
    <t>2.7</t>
  </si>
  <si>
    <t>建设工程其他费用表</t>
  </si>
  <si>
    <t>建设项目：国家妇儿区域医疗中心-北京大学第一医院宁夏妇女儿童医院建设项目</t>
  </si>
  <si>
    <t>计算基数</t>
  </si>
  <si>
    <t>费率%</t>
  </si>
  <si>
    <t>金额(万元)</t>
  </si>
  <si>
    <t>计算公式</t>
  </si>
  <si>
    <t>建设工程其他费用</t>
  </si>
  <si>
    <t>合同价</t>
  </si>
  <si>
    <t>中标价</t>
  </si>
  <si>
    <t>设备招标代理</t>
  </si>
  <si>
    <t>施工图审查费</t>
  </si>
  <si>
    <t>地震安全性评价报告</t>
  </si>
  <si>
    <t>招标价</t>
  </si>
  <si>
    <t>建筑面积</t>
  </si>
  <si>
    <t>㎡</t>
  </si>
  <si>
    <t>地下面积</t>
  </si>
  <si>
    <t>地上面积</t>
  </si>
  <si>
    <t>台</t>
  </si>
  <si>
    <t>点位</t>
  </si>
  <si>
    <t>个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</si>
</sst>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8">
    <font>
      <sz val="11"/>
      <color theme="1"/>
      <name val="等线"/>
      <charset val="134"/>
      <scheme val="minor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b/>
      <sz val="10"/>
      <color indexed="8"/>
      <name val="Times New Roman"/>
      <charset val="134"/>
    </font>
    <font>
      <b/>
      <sz val="10"/>
      <color theme="1"/>
      <name val="Times New Roman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Times New Roman"/>
      <charset val="134"/>
    </font>
    <font>
      <sz val="11"/>
      <name val="宋体"/>
      <charset val="134"/>
    </font>
    <font>
      <b/>
      <sz val="11"/>
      <color indexed="8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9"/>
      <name val="等线"/>
      <charset val="134"/>
      <scheme val="minor"/>
    </font>
    <font>
      <sz val="9"/>
      <name val="等线"/>
      <charset val="134"/>
      <scheme val="minor"/>
    </font>
    <font>
      <sz val="11"/>
      <color indexed="8"/>
      <name val="Times New Roman"/>
      <charset val="134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name val="Times New Roman"/>
      <charset val="134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8"/>
      <color theme="1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4"/>
      <color rgb="FF000000"/>
      <name val="Times New Roman"/>
      <charset val="134"/>
    </font>
    <font>
      <vertAlign val="superscript"/>
      <sz val="11"/>
      <name val="等线"/>
      <charset val="134"/>
      <scheme val="minor"/>
    </font>
    <font>
      <vertAlign val="superscript"/>
      <sz val="11"/>
      <color theme="1"/>
      <name val="等线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3" fontId="7" fillId="0" borderId="0" applyFont="false" applyFill="false" applyBorder="false" applyAlignment="false" applyProtection="false">
      <alignment vertical="center"/>
    </xf>
    <xf numFmtId="0" fontId="34" fillId="21" borderId="0" applyNumberFormat="false" applyBorder="false" applyAlignment="false" applyProtection="false">
      <alignment vertical="center"/>
    </xf>
    <xf numFmtId="0" fontId="34" fillId="28" borderId="0" applyNumberFormat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0" fontId="7" fillId="0" borderId="0"/>
    <xf numFmtId="0" fontId="33" fillId="18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4" fillId="0" borderId="11" applyNumberFormat="false" applyFill="false" applyAlignment="false" applyProtection="false">
      <alignment vertical="center"/>
    </xf>
    <xf numFmtId="9" fontId="41" fillId="0" borderId="0" applyFont="false" applyFill="false" applyBorder="false" applyAlignment="false" applyProtection="false">
      <alignment vertical="center"/>
    </xf>
    <xf numFmtId="43" fontId="41" fillId="0" borderId="0" applyFont="false" applyFill="false" applyBorder="false" applyAlignment="false" applyProtection="false">
      <alignment vertical="center"/>
    </xf>
    <xf numFmtId="0" fontId="47" fillId="0" borderId="13" applyNumberFormat="false" applyFill="false" applyAlignment="false" applyProtection="false">
      <alignment vertical="center"/>
    </xf>
    <xf numFmtId="42" fontId="41" fillId="0" borderId="0" applyFont="false" applyFill="false" applyBorder="false" applyAlignment="false" applyProtection="false">
      <alignment vertical="center"/>
    </xf>
    <xf numFmtId="0" fontId="50" fillId="0" borderId="0">
      <alignment vertical="center"/>
    </xf>
    <xf numFmtId="0" fontId="33" fillId="27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8" fillId="0" borderId="0"/>
    <xf numFmtId="0" fontId="34" fillId="16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52" fillId="0" borderId="13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44" fontId="41" fillId="0" borderId="0" applyFont="false" applyFill="false" applyBorder="false" applyAlignment="false" applyProtection="false">
      <alignment vertical="center"/>
    </xf>
    <xf numFmtId="0" fontId="34" fillId="34" borderId="0" applyNumberFormat="false" applyBorder="false" applyAlignment="false" applyProtection="false">
      <alignment vertical="center"/>
    </xf>
    <xf numFmtId="0" fontId="45" fillId="17" borderId="9" applyNumberFormat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41" fontId="41" fillId="0" borderId="0" applyFont="false" applyFill="false" applyBorder="false" applyAlignment="false" applyProtection="false">
      <alignment vertical="center"/>
    </xf>
    <xf numFmtId="0" fontId="33" fillId="35" borderId="0" applyNumberFormat="false" applyBorder="false" applyAlignment="false" applyProtection="false">
      <alignment vertical="center"/>
    </xf>
    <xf numFmtId="0" fontId="34" fillId="36" borderId="0" applyNumberFormat="false" applyBorder="false" applyAlignment="false" applyProtection="false">
      <alignment vertical="center"/>
    </xf>
    <xf numFmtId="0" fontId="33" fillId="37" borderId="0" applyNumberFormat="false" applyBorder="false" applyAlignment="false" applyProtection="false">
      <alignment vertical="center"/>
    </xf>
    <xf numFmtId="0" fontId="40" fillId="13" borderId="9" applyNumberFormat="false" applyAlignment="false" applyProtection="false">
      <alignment vertical="center"/>
    </xf>
    <xf numFmtId="0" fontId="54" fillId="17" borderId="15" applyNumberFormat="false" applyAlignment="false" applyProtection="false">
      <alignment vertical="center"/>
    </xf>
    <xf numFmtId="0" fontId="53" fillId="33" borderId="14" applyNumberFormat="false" applyAlignment="false" applyProtection="false">
      <alignment vertical="center"/>
    </xf>
    <xf numFmtId="0" fontId="39" fillId="0" borderId="8" applyNumberFormat="false" applyFill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48" fillId="0" borderId="0">
      <alignment vertical="center"/>
    </xf>
    <xf numFmtId="0" fontId="33" fillId="31" borderId="0" applyNumberFormat="false" applyBorder="false" applyAlignment="false" applyProtection="false">
      <alignment vertical="center"/>
    </xf>
    <xf numFmtId="0" fontId="41" fillId="15" borderId="12" applyNumberFormat="false" applyFon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2" fillId="14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34" fillId="9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34" fillId="8" borderId="0" applyNumberFormat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</cellStyleXfs>
  <cellXfs count="141">
    <xf numFmtId="0" fontId="0" fillId="0" borderId="0" xfId="0"/>
    <xf numFmtId="0" fontId="1" fillId="0" borderId="0" xfId="17" applyFont="true">
      <alignment vertical="center"/>
    </xf>
    <xf numFmtId="0" fontId="2" fillId="0" borderId="0" xfId="17" applyFont="true">
      <alignment vertical="center"/>
    </xf>
    <xf numFmtId="0" fontId="2" fillId="0" borderId="0" xfId="17" applyFont="true" applyAlignment="true">
      <alignment vertical="center" wrapText="true"/>
    </xf>
    <xf numFmtId="0" fontId="3" fillId="0" borderId="0" xfId="17" applyFont="true" applyAlignment="true">
      <alignment vertical="center" wrapText="true"/>
    </xf>
    <xf numFmtId="0" fontId="4" fillId="0" borderId="0" xfId="17" applyFont="true" applyAlignment="true">
      <alignment horizontal="center" vertical="center"/>
    </xf>
    <xf numFmtId="0" fontId="4" fillId="0" borderId="1" xfId="17" applyFont="true" applyBorder="true" applyAlignment="true">
      <alignment horizontal="center" vertical="center"/>
    </xf>
    <xf numFmtId="49" fontId="5" fillId="0" borderId="0" xfId="17" applyNumberFormat="true" applyFont="true">
      <alignment vertical="center"/>
    </xf>
    <xf numFmtId="0" fontId="5" fillId="0" borderId="0" xfId="17" applyFont="true">
      <alignment vertical="center"/>
    </xf>
    <xf numFmtId="1" fontId="5" fillId="0" borderId="0" xfId="17" applyNumberFormat="true" applyFont="true" applyAlignment="true">
      <alignment horizontal="center" vertical="center"/>
    </xf>
    <xf numFmtId="0" fontId="6" fillId="0" borderId="0" xfId="17" applyFont="true">
      <alignment vertical="center"/>
    </xf>
    <xf numFmtId="0" fontId="7" fillId="0" borderId="0" xfId="17" applyFont="true" applyAlignment="true"/>
    <xf numFmtId="49" fontId="8" fillId="0" borderId="0" xfId="17" applyNumberFormat="true" applyFont="true" applyAlignment="true">
      <alignment horizontal="center" vertical="center"/>
    </xf>
    <xf numFmtId="0" fontId="9" fillId="0" borderId="0" xfId="17" applyFont="true" applyAlignment="true">
      <alignment horizontal="center" vertical="center"/>
    </xf>
    <xf numFmtId="49" fontId="10" fillId="0" borderId="0" xfId="39" applyNumberFormat="true" applyFont="true" applyAlignment="true">
      <alignment horizontal="left" vertical="center"/>
    </xf>
    <xf numFmtId="49" fontId="11" fillId="0" borderId="2" xfId="17" applyNumberFormat="true" applyFont="true" applyBorder="true" applyAlignment="true">
      <alignment horizontal="center" vertical="center" wrapText="true"/>
    </xf>
    <xf numFmtId="0" fontId="11" fillId="0" borderId="2" xfId="17" applyFont="true" applyBorder="true" applyAlignment="true">
      <alignment horizontal="center" vertical="center" wrapText="true"/>
    </xf>
    <xf numFmtId="49" fontId="12" fillId="0" borderId="3" xfId="17" applyNumberFormat="true" applyFont="true" applyBorder="true" applyAlignment="true">
      <alignment horizontal="center" vertical="center" wrapText="true"/>
    </xf>
    <xf numFmtId="0" fontId="12" fillId="0" borderId="3" xfId="17" applyFont="true" applyBorder="true" applyAlignment="true">
      <alignment horizontal="left" vertical="center" wrapText="true"/>
    </xf>
    <xf numFmtId="2" fontId="12" fillId="0" borderId="2" xfId="17" applyNumberFormat="true" applyFont="true" applyBorder="true" applyAlignment="true">
      <alignment vertical="center" wrapText="true"/>
    </xf>
    <xf numFmtId="49" fontId="13" fillId="0" borderId="3" xfId="17" applyNumberFormat="true" applyFont="true" applyBorder="true" applyAlignment="true">
      <alignment horizontal="center" vertical="center" wrapText="true"/>
    </xf>
    <xf numFmtId="0" fontId="13" fillId="0" borderId="3" xfId="17" applyFont="true" applyBorder="true" applyAlignment="true">
      <alignment horizontal="left" vertical="center" wrapText="true"/>
    </xf>
    <xf numFmtId="2" fontId="13" fillId="0" borderId="2" xfId="17" applyNumberFormat="true" applyFont="true" applyBorder="true" applyAlignment="true">
      <alignment vertical="center" wrapText="true"/>
    </xf>
    <xf numFmtId="0" fontId="13" fillId="0" borderId="2" xfId="17" applyFont="true" applyBorder="true">
      <alignment vertical="center"/>
    </xf>
    <xf numFmtId="49" fontId="13" fillId="0" borderId="2" xfId="17" applyNumberFormat="true" applyFont="true" applyBorder="true" applyAlignment="true">
      <alignment horizontal="center" vertical="center"/>
    </xf>
    <xf numFmtId="2" fontId="13" fillId="0" borderId="2" xfId="17" applyNumberFormat="true" applyFont="true" applyBorder="true">
      <alignment vertical="center"/>
    </xf>
    <xf numFmtId="0" fontId="13" fillId="0" borderId="2" xfId="17" applyFont="true" applyBorder="true" applyAlignment="true">
      <alignment vertical="center" wrapText="true"/>
    </xf>
    <xf numFmtId="0" fontId="13" fillId="0" borderId="3" xfId="17" applyFont="true" applyBorder="true">
      <alignment vertical="center"/>
    </xf>
    <xf numFmtId="2" fontId="13" fillId="0" borderId="3" xfId="17" applyNumberFormat="true" applyFont="true" applyBorder="true">
      <alignment vertical="center"/>
    </xf>
    <xf numFmtId="0" fontId="5" fillId="0" borderId="2" xfId="17" applyFont="true" applyBorder="true">
      <alignment vertical="center"/>
    </xf>
    <xf numFmtId="177" fontId="14" fillId="0" borderId="2" xfId="17" applyNumberFormat="true" applyFont="true" applyBorder="true" applyAlignment="true">
      <alignment horizontal="center" vertical="center" wrapText="true"/>
    </xf>
    <xf numFmtId="0" fontId="12" fillId="0" borderId="2" xfId="17" applyFont="true" applyBorder="true" applyAlignment="true">
      <alignment horizontal="center" vertical="center"/>
    </xf>
    <xf numFmtId="177" fontId="15" fillId="0" borderId="2" xfId="17" applyNumberFormat="true" applyFont="true" applyBorder="true" applyAlignment="true">
      <alignment horizontal="center" vertical="center" wrapText="true"/>
    </xf>
    <xf numFmtId="0" fontId="13" fillId="0" borderId="2" xfId="17" applyFont="true" applyBorder="true" applyAlignment="true">
      <alignment horizontal="center" vertical="center"/>
    </xf>
    <xf numFmtId="0" fontId="16" fillId="0" borderId="1" xfId="17" applyFont="true" applyBorder="true">
      <alignment vertical="center"/>
    </xf>
    <xf numFmtId="0" fontId="11" fillId="0" borderId="4" xfId="17" applyFont="true" applyBorder="true" applyAlignment="true">
      <alignment horizontal="center" vertical="center" wrapText="true"/>
    </xf>
    <xf numFmtId="1" fontId="11" fillId="0" borderId="2" xfId="17" applyNumberFormat="true" applyFont="true" applyBorder="true" applyAlignment="true">
      <alignment horizontal="center" vertical="center" wrapText="true"/>
    </xf>
    <xf numFmtId="0" fontId="17" fillId="0" borderId="2" xfId="17" applyFont="true" applyBorder="true" applyAlignment="true">
      <alignment horizontal="center" vertical="center" wrapText="true"/>
    </xf>
    <xf numFmtId="0" fontId="11" fillId="0" borderId="3" xfId="17" applyFont="true" applyBorder="true" applyAlignment="true">
      <alignment horizontal="center" vertical="center" wrapText="true"/>
    </xf>
    <xf numFmtId="176" fontId="12" fillId="0" borderId="2" xfId="17" applyNumberFormat="true" applyFont="true" applyBorder="true" applyAlignment="true">
      <alignment horizontal="center" vertical="center"/>
    </xf>
    <xf numFmtId="2" fontId="18" fillId="0" borderId="2" xfId="17" applyNumberFormat="true" applyFont="true" applyBorder="true">
      <alignment vertical="center"/>
    </xf>
    <xf numFmtId="10" fontId="12" fillId="0" borderId="2" xfId="17" applyNumberFormat="true" applyFont="true" applyBorder="true" applyAlignment="true">
      <alignment horizontal="center" vertical="center" wrapText="true"/>
    </xf>
    <xf numFmtId="0" fontId="12" fillId="0" borderId="2" xfId="17" applyFont="true" applyBorder="true" applyAlignment="true">
      <alignment vertical="center" wrapText="true"/>
    </xf>
    <xf numFmtId="176" fontId="13" fillId="0" borderId="2" xfId="17" applyNumberFormat="true" applyFont="true" applyBorder="true" applyAlignment="true">
      <alignment horizontal="center" vertical="center"/>
    </xf>
    <xf numFmtId="2" fontId="0" fillId="0" borderId="2" xfId="17" applyNumberFormat="true" applyFont="true" applyBorder="true">
      <alignment vertical="center"/>
    </xf>
    <xf numFmtId="10" fontId="13" fillId="0" borderId="2" xfId="17" applyNumberFormat="true" applyFont="true" applyBorder="true" applyAlignment="true">
      <alignment horizontal="center" vertical="center" wrapText="true"/>
    </xf>
    <xf numFmtId="176" fontId="13" fillId="0" borderId="3" xfId="17" applyNumberFormat="true" applyFont="true" applyBorder="true" applyAlignment="true">
      <alignment horizontal="center" vertical="center"/>
    </xf>
    <xf numFmtId="0" fontId="13" fillId="0" borderId="3" xfId="17" applyFont="true" applyBorder="true" applyAlignment="true">
      <alignment vertical="center" wrapText="true"/>
    </xf>
    <xf numFmtId="0" fontId="19" fillId="0" borderId="0" xfId="17" applyFont="true" applyAlignment="true">
      <alignment horizontal="center" vertical="center"/>
    </xf>
    <xf numFmtId="0" fontId="7" fillId="0" borderId="0" xfId="17" applyFont="true" applyAlignment="true">
      <alignment horizontal="center" vertical="center"/>
    </xf>
    <xf numFmtId="0" fontId="16" fillId="0" borderId="0" xfId="17" applyFont="true">
      <alignment vertical="center"/>
    </xf>
    <xf numFmtId="0" fontId="1" fillId="0" borderId="0" xfId="17" applyFont="true" applyAlignment="true">
      <alignment horizontal="center" vertical="center"/>
    </xf>
    <xf numFmtId="0" fontId="2" fillId="0" borderId="0" xfId="17" applyFont="true" applyAlignment="true">
      <alignment horizontal="center" vertical="center"/>
    </xf>
    <xf numFmtId="0" fontId="2" fillId="0" borderId="0" xfId="17" applyFont="true" applyAlignment="true">
      <alignment horizontal="center" vertical="center" wrapText="true"/>
    </xf>
    <xf numFmtId="0" fontId="3" fillId="0" borderId="0" xfId="17" applyFont="true" applyAlignment="true">
      <alignment horizontal="center" vertical="center" wrapText="true"/>
    </xf>
    <xf numFmtId="0" fontId="20" fillId="2" borderId="0" xfId="39" applyFont="true" applyFill="true" applyBorder="true" applyAlignment="true">
      <alignment vertical="center"/>
    </xf>
    <xf numFmtId="0" fontId="20" fillId="2" borderId="0" xfId="39" applyFont="true" applyFill="true" applyBorder="true" applyAlignment="true">
      <alignment vertical="center" wrapText="true"/>
    </xf>
    <xf numFmtId="0" fontId="20" fillId="2" borderId="0" xfId="39" applyFont="true" applyFill="true" applyBorder="true" applyAlignment="true">
      <alignment horizontal="center" vertical="center" wrapText="true"/>
    </xf>
    <xf numFmtId="0" fontId="21" fillId="3" borderId="0" xfId="20" applyFont="true" applyFill="true" applyAlignment="true">
      <alignment vertical="center"/>
    </xf>
    <xf numFmtId="0" fontId="21" fillId="0" borderId="0" xfId="20" applyFont="true" applyFill="true" applyAlignment="true">
      <alignment vertical="center"/>
    </xf>
    <xf numFmtId="0" fontId="22" fillId="0" borderId="0" xfId="20" applyFont="true" applyFill="true" applyAlignment="true">
      <alignment vertical="center"/>
    </xf>
    <xf numFmtId="0" fontId="23" fillId="0" borderId="0" xfId="0" applyFont="true" applyFill="true" applyAlignment="true">
      <alignment vertical="center"/>
    </xf>
    <xf numFmtId="0" fontId="22" fillId="0" borderId="0" xfId="20" applyFont="true" applyFill="true" applyAlignment="true">
      <alignment horizontal="center" vertical="center"/>
    </xf>
    <xf numFmtId="49" fontId="22" fillId="0" borderId="0" xfId="20" applyNumberFormat="true" applyFont="true" applyAlignment="true">
      <alignment horizontal="center" vertical="center"/>
    </xf>
    <xf numFmtId="0" fontId="22" fillId="0" borderId="0" xfId="20" applyFont="true" applyAlignment="true">
      <alignment horizontal="left" vertical="center"/>
    </xf>
    <xf numFmtId="177" fontId="22" fillId="0" borderId="0" xfId="20" applyNumberFormat="true" applyFont="true" applyAlignment="true">
      <alignment horizontal="right" vertical="center"/>
    </xf>
    <xf numFmtId="177" fontId="24" fillId="0" borderId="0" xfId="20" applyNumberFormat="true" applyFont="true" applyAlignment="true">
      <alignment horizontal="left" vertical="center" wrapText="true"/>
    </xf>
    <xf numFmtId="0" fontId="22" fillId="0" borderId="0" xfId="20" applyFont="true" applyAlignment="true">
      <alignment vertical="center"/>
    </xf>
    <xf numFmtId="49" fontId="25" fillId="2" borderId="0" xfId="39" applyNumberFormat="true" applyFont="true" applyFill="true" applyBorder="true" applyAlignment="true">
      <alignment horizontal="center" vertical="center"/>
    </xf>
    <xf numFmtId="0" fontId="26" fillId="2" borderId="0" xfId="39" applyFont="true" applyFill="true" applyBorder="true" applyAlignment="true">
      <alignment horizontal="left" vertical="center"/>
    </xf>
    <xf numFmtId="177" fontId="26" fillId="2" borderId="0" xfId="39" applyNumberFormat="true" applyFont="true" applyFill="true" applyBorder="true" applyAlignment="true">
      <alignment horizontal="center" vertical="center"/>
    </xf>
    <xf numFmtId="49" fontId="10" fillId="2" borderId="0" xfId="39" applyNumberFormat="true" applyFont="true" applyFill="true" applyBorder="true" applyAlignment="true">
      <alignment horizontal="left" vertical="center"/>
    </xf>
    <xf numFmtId="0" fontId="27" fillId="2" borderId="0" xfId="39" applyFont="true" applyFill="true" applyBorder="true" applyAlignment="true">
      <alignment horizontal="left" vertical="center"/>
    </xf>
    <xf numFmtId="177" fontId="27" fillId="2" borderId="0" xfId="39" applyNumberFormat="true" applyFont="true" applyFill="true" applyBorder="true" applyAlignment="true">
      <alignment horizontal="right" vertical="center"/>
    </xf>
    <xf numFmtId="49" fontId="12" fillId="2" borderId="2" xfId="39" applyNumberFormat="true" applyFont="true" applyFill="true" applyBorder="true" applyAlignment="true">
      <alignment horizontal="center" vertical="center" wrapText="true"/>
    </xf>
    <xf numFmtId="0" fontId="12" fillId="2" borderId="2" xfId="39" applyFont="true" applyFill="true" applyBorder="true" applyAlignment="true">
      <alignment horizontal="center" vertical="center" wrapText="true"/>
    </xf>
    <xf numFmtId="177" fontId="12" fillId="2" borderId="2" xfId="39" applyNumberFormat="true" applyFont="true" applyFill="true" applyBorder="true" applyAlignment="true">
      <alignment horizontal="center" vertical="center" wrapText="true"/>
    </xf>
    <xf numFmtId="49" fontId="18" fillId="4" borderId="2" xfId="20" applyNumberFormat="true" applyFont="true" applyFill="true" applyBorder="true" applyAlignment="true">
      <alignment horizontal="center" vertical="center"/>
    </xf>
    <xf numFmtId="0" fontId="18" fillId="4" borderId="2" xfId="20" applyFont="true" applyFill="true" applyBorder="true" applyAlignment="true">
      <alignment horizontal="center" vertical="center"/>
    </xf>
    <xf numFmtId="177" fontId="18" fillId="4" borderId="2" xfId="20" applyNumberFormat="true" applyFont="true" applyFill="true" applyBorder="true" applyAlignment="true">
      <alignment horizontal="right" vertical="center"/>
    </xf>
    <xf numFmtId="0" fontId="13" fillId="0" borderId="2" xfId="7" applyFont="true" applyFill="true" applyBorder="true" applyAlignment="true">
      <alignment horizontal="center" vertical="center"/>
    </xf>
    <xf numFmtId="0" fontId="13" fillId="0" borderId="2" xfId="7" applyFont="true" applyFill="true" applyBorder="true" applyAlignment="true">
      <alignment horizontal="left" vertical="center" wrapText="true"/>
    </xf>
    <xf numFmtId="177" fontId="0" fillId="0" borderId="2" xfId="20" applyNumberFormat="true" applyFont="true" applyFill="true" applyBorder="true" applyAlignment="true">
      <alignment horizontal="right" vertical="center"/>
    </xf>
    <xf numFmtId="49" fontId="22" fillId="0" borderId="0" xfId="20" applyNumberFormat="true" applyFont="true" applyFill="true" applyAlignment="true">
      <alignment horizontal="center" vertical="center"/>
    </xf>
    <xf numFmtId="0" fontId="22" fillId="0" borderId="0" xfId="20" applyFont="true" applyFill="true" applyAlignment="true">
      <alignment horizontal="left" vertical="center"/>
    </xf>
    <xf numFmtId="177" fontId="22" fillId="0" borderId="0" xfId="20" applyNumberFormat="true" applyFont="true" applyFill="true" applyAlignment="true">
      <alignment horizontal="right" vertical="center"/>
    </xf>
    <xf numFmtId="0" fontId="26" fillId="2" borderId="0" xfId="39" applyFont="true" applyFill="true" applyBorder="true" applyAlignment="true">
      <alignment horizontal="center" vertical="center" wrapText="true"/>
    </xf>
    <xf numFmtId="0" fontId="27" fillId="2" borderId="1" xfId="39" applyFont="true" applyFill="true" applyBorder="true" applyAlignment="true">
      <alignment horizontal="right" vertical="center" wrapText="true"/>
    </xf>
    <xf numFmtId="177" fontId="18" fillId="4" borderId="2" xfId="20" applyNumberFormat="true" applyFont="true" applyFill="true" applyBorder="true" applyAlignment="true">
      <alignment vertical="center"/>
    </xf>
    <xf numFmtId="177" fontId="18" fillId="4" borderId="2" xfId="20" applyNumberFormat="true" applyFont="true" applyFill="true" applyBorder="true" applyAlignment="true">
      <alignment horizontal="left" vertical="center" wrapText="true"/>
    </xf>
    <xf numFmtId="0" fontId="28" fillId="0" borderId="2" xfId="0" applyNumberFormat="true" applyFont="true" applyFill="true" applyBorder="true" applyAlignment="true" applyProtection="true">
      <alignment horizontal="right" vertical="center"/>
    </xf>
    <xf numFmtId="177" fontId="13" fillId="0" borderId="2" xfId="1" applyNumberFormat="true" applyFont="true" applyFill="true" applyBorder="true" applyAlignment="true">
      <alignment vertical="center"/>
    </xf>
    <xf numFmtId="0" fontId="28" fillId="0" borderId="2" xfId="0" applyNumberFormat="true" applyFont="true" applyFill="true" applyBorder="true" applyAlignment="true" applyProtection="true">
      <alignment horizontal="center" vertical="center" wrapText="true"/>
    </xf>
    <xf numFmtId="177" fontId="28" fillId="0" borderId="4" xfId="0" applyNumberFormat="true" applyFont="true" applyFill="true" applyBorder="true" applyAlignment="true" applyProtection="true">
      <alignment horizontal="right" vertical="center"/>
    </xf>
    <xf numFmtId="177" fontId="13" fillId="0" borderId="2" xfId="7" applyNumberFormat="true" applyFont="true" applyFill="true" applyBorder="true" applyAlignment="true">
      <alignment horizontal="left" vertical="center"/>
    </xf>
    <xf numFmtId="177" fontId="24" fillId="0" borderId="0" xfId="20" applyNumberFormat="true" applyFont="true" applyFill="true" applyAlignment="true">
      <alignment horizontal="left" vertical="center" wrapText="true"/>
    </xf>
    <xf numFmtId="0" fontId="28" fillId="0" borderId="4" xfId="0" applyNumberFormat="true" applyFont="true" applyFill="true" applyBorder="true" applyAlignment="true" applyProtection="true">
      <alignment horizontal="right" vertical="center"/>
    </xf>
    <xf numFmtId="177" fontId="13" fillId="0" borderId="2" xfId="7" applyNumberFormat="true" applyFont="true" applyFill="true" applyBorder="true" applyAlignment="true">
      <alignment horizontal="left" vertical="center" wrapText="true"/>
    </xf>
    <xf numFmtId="177" fontId="13" fillId="0" borderId="2" xfId="7" applyNumberFormat="true" applyFont="true" applyFill="true" applyBorder="true" applyAlignment="true">
      <alignment horizontal="center" vertical="center"/>
    </xf>
    <xf numFmtId="0" fontId="1" fillId="2" borderId="0" xfId="17" applyFont="true" applyFill="true">
      <alignment vertical="center"/>
    </xf>
    <xf numFmtId="0" fontId="2" fillId="2" borderId="0" xfId="17" applyFont="true" applyFill="true">
      <alignment vertical="center"/>
    </xf>
    <xf numFmtId="0" fontId="3" fillId="2" borderId="0" xfId="17" applyFont="true" applyFill="true" applyAlignment="true">
      <alignment vertical="center" wrapText="true"/>
    </xf>
    <xf numFmtId="49" fontId="5" fillId="2" borderId="0" xfId="17" applyNumberFormat="true" applyFont="true" applyFill="true">
      <alignment vertical="center"/>
    </xf>
    <xf numFmtId="0" fontId="5" fillId="2" borderId="0" xfId="17" applyFont="true" applyFill="true">
      <alignment vertical="center"/>
    </xf>
    <xf numFmtId="1" fontId="5" fillId="2" borderId="0" xfId="17" applyNumberFormat="true" applyFont="true" applyFill="true" applyAlignment="true">
      <alignment horizontal="center" vertical="center"/>
    </xf>
    <xf numFmtId="49" fontId="13" fillId="2" borderId="0" xfId="39" applyNumberFormat="true" applyFont="true" applyFill="true" applyAlignment="true">
      <alignment horizontal="left" vertical="center"/>
    </xf>
    <xf numFmtId="0" fontId="29" fillId="0" borderId="0" xfId="17" applyFont="true">
      <alignment vertical="center"/>
    </xf>
    <xf numFmtId="49" fontId="11" fillId="0" borderId="4" xfId="17" applyNumberFormat="true" applyFont="true" applyBorder="true" applyAlignment="true">
      <alignment horizontal="center" vertical="center" wrapText="true"/>
    </xf>
    <xf numFmtId="49" fontId="11" fillId="0" borderId="3" xfId="17" applyNumberFormat="true" applyFont="true" applyBorder="true" applyAlignment="true">
      <alignment horizontal="center" vertical="center" wrapText="true"/>
    </xf>
    <xf numFmtId="0" fontId="30" fillId="5" borderId="5" xfId="17" applyFont="true" applyFill="true" applyBorder="true" applyAlignment="true">
      <alignment horizontal="left" vertical="center" wrapText="true"/>
    </xf>
    <xf numFmtId="0" fontId="4" fillId="0" borderId="2" xfId="17" applyFont="true" applyBorder="true" applyAlignment="true">
      <alignment horizontal="center" vertical="center"/>
    </xf>
    <xf numFmtId="0" fontId="10" fillId="0" borderId="2" xfId="17" applyFont="true" applyBorder="true" applyAlignment="true">
      <alignment horizontal="center" vertical="center"/>
    </xf>
    <xf numFmtId="177" fontId="13" fillId="0" borderId="2" xfId="17" applyNumberFormat="true" applyFont="true" applyBorder="true" applyAlignment="true">
      <alignment horizontal="center" vertical="center" wrapText="true"/>
    </xf>
    <xf numFmtId="1" fontId="29" fillId="0" borderId="0" xfId="17" applyNumberFormat="true" applyFont="true" applyAlignment="true">
      <alignment horizontal="center" vertical="center"/>
    </xf>
    <xf numFmtId="0" fontId="0" fillId="0" borderId="0" xfId="17" applyFont="true">
      <alignment vertical="center"/>
    </xf>
    <xf numFmtId="0" fontId="29" fillId="0" borderId="1" xfId="17" applyFont="true" applyBorder="true" applyAlignment="true">
      <alignment horizontal="right" vertical="center"/>
    </xf>
    <xf numFmtId="49" fontId="13" fillId="2" borderId="1" xfId="39" applyNumberFormat="true" applyFont="true" applyFill="true" applyBorder="true" applyAlignment="true">
      <alignment horizontal="left" vertical="center"/>
    </xf>
    <xf numFmtId="49" fontId="13" fillId="0" borderId="3" xfId="17" applyNumberFormat="true" applyFont="true" applyBorder="true" applyAlignment="true">
      <alignment horizontal="center" vertical="center"/>
    </xf>
    <xf numFmtId="0" fontId="30" fillId="5" borderId="6" xfId="17" applyFont="true" applyFill="true" applyBorder="true" applyAlignment="true">
      <alignment horizontal="left" vertical="center" wrapText="true"/>
    </xf>
    <xf numFmtId="0" fontId="30" fillId="5" borderId="7" xfId="17" applyFont="true" applyFill="true" applyBorder="true" applyAlignment="true">
      <alignment horizontal="left" vertical="center" wrapText="true"/>
    </xf>
    <xf numFmtId="0" fontId="0" fillId="0" borderId="1" xfId="0" applyBorder="true" applyAlignment="true">
      <alignment horizontal="center" vertical="center"/>
    </xf>
    <xf numFmtId="0" fontId="0" fillId="0" borderId="2" xfId="0" applyBorder="true"/>
    <xf numFmtId="177" fontId="0" fillId="0" borderId="2" xfId="0" applyNumberFormat="true" applyBorder="true"/>
    <xf numFmtId="2" fontId="0" fillId="0" borderId="2" xfId="0" applyNumberFormat="true" applyBorder="true"/>
    <xf numFmtId="49" fontId="13" fillId="0" borderId="2" xfId="17" applyNumberFormat="true" applyFont="true" applyBorder="true" applyAlignment="true">
      <alignment horizontal="center" vertical="center" wrapText="true"/>
    </xf>
    <xf numFmtId="0" fontId="13" fillId="0" borderId="2" xfId="17" applyFont="true" applyBorder="true" applyAlignment="true">
      <alignment horizontal="left" vertical="center" wrapText="true"/>
    </xf>
    <xf numFmtId="2" fontId="0" fillId="6" borderId="2" xfId="0" applyNumberFormat="true" applyFill="true" applyBorder="true"/>
    <xf numFmtId="49" fontId="13" fillId="0" borderId="2" xfId="17" applyNumberFormat="true" applyFont="true" applyFill="true" applyBorder="true" applyAlignment="true">
      <alignment horizontal="center" vertical="center"/>
    </xf>
    <xf numFmtId="0" fontId="13" fillId="0" borderId="2" xfId="17" applyFont="true" applyFill="true" applyBorder="true">
      <alignment vertical="center"/>
    </xf>
    <xf numFmtId="0" fontId="30" fillId="5" borderId="2" xfId="17" applyFont="true" applyFill="true" applyBorder="true" applyAlignment="true">
      <alignment horizontal="left" vertical="center" wrapText="true"/>
    </xf>
    <xf numFmtId="0" fontId="13" fillId="0" borderId="2" xfId="7" applyFont="true" applyBorder="true" applyAlignment="true">
      <alignment horizontal="center" vertical="center"/>
    </xf>
    <xf numFmtId="0" fontId="13" fillId="0" borderId="2" xfId="7" applyFont="true" applyBorder="true" applyAlignment="true">
      <alignment horizontal="left" vertical="center" wrapText="true"/>
    </xf>
    <xf numFmtId="0" fontId="0" fillId="0" borderId="0" xfId="0" applyAlignment="true">
      <alignment horizontal="center" vertical="center"/>
    </xf>
    <xf numFmtId="0" fontId="18" fillId="0" borderId="0" xfId="0" applyFont="true"/>
    <xf numFmtId="0" fontId="31" fillId="0" borderId="1" xfId="0" applyFont="true" applyBorder="true" applyAlignment="true">
      <alignment horizontal="center"/>
    </xf>
    <xf numFmtId="0" fontId="0" fillId="0" borderId="2" xfId="0" applyBorder="true" applyAlignment="true">
      <alignment horizontal="center" vertical="center"/>
    </xf>
    <xf numFmtId="0" fontId="18" fillId="0" borderId="2" xfId="0" applyFont="true" applyBorder="true" applyAlignment="true">
      <alignment horizontal="center" vertical="center"/>
    </xf>
    <xf numFmtId="0" fontId="18" fillId="0" borderId="2" xfId="0" applyFont="true" applyBorder="true"/>
    <xf numFmtId="0" fontId="18" fillId="0" borderId="2" xfId="0" applyFont="true" applyBorder="true" applyAlignment="true">
      <alignment horizontal="right"/>
    </xf>
    <xf numFmtId="0" fontId="0" fillId="0" borderId="2" xfId="0" applyBorder="true" applyAlignment="true">
      <alignment horizontal="right"/>
    </xf>
    <xf numFmtId="0" fontId="32" fillId="0" borderId="2" xfId="0" applyFont="true" applyBorder="true" applyAlignment="true">
      <alignment horizontal="center" vertical="center"/>
    </xf>
  </cellXfs>
  <cellStyles count="54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常规 10" xfId="7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Normal" xfId="20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&#39033;&#30446;/A2&#27010;&#31639;&#39033;&#30446;/&#23425;&#22799;&#22919;&#24188;&#20445;&#20581;&#38498;&#22919;&#20135;&#32508;&#21512;&#27004;&#39033;&#30446;/&#27010;&#31639;&#25991;&#20214;/2022.05.30&#21448;&#25913;/&#23425;&#22799;&#22919;&#20799;2022.05.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uest/Desktop/&#23425;&#22799;&#22919;&#20799;2022.06.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投资构成"/>
      <sheetName val="概算可研对比表1"/>
      <sheetName val="可研"/>
      <sheetName val="投资构成表"/>
      <sheetName val="指标表"/>
      <sheetName val="主体概算汇总表1"/>
      <sheetName val="妇产综合楼1"/>
      <sheetName val="室外工程1"/>
      <sheetName val="其他费用表1"/>
      <sheetName val="概算可研对比表2"/>
      <sheetName val="改移概算汇总表2"/>
      <sheetName val="污水站2"/>
      <sheetName val="液氧站2"/>
      <sheetName val="改移2"/>
      <sheetName val="其他费用表2"/>
      <sheetName val="医疗设备"/>
      <sheetName val="信息化建设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E4">
            <v>66822247.31</v>
          </cell>
        </row>
        <row r="5">
          <cell r="E5">
            <v>19198057.73</v>
          </cell>
        </row>
        <row r="6">
          <cell r="E6">
            <v>93760434.16</v>
          </cell>
        </row>
        <row r="7">
          <cell r="E7">
            <v>9861694.75</v>
          </cell>
        </row>
        <row r="8">
          <cell r="E8">
            <v>55787910.84</v>
          </cell>
        </row>
        <row r="9">
          <cell r="E9">
            <v>19164766.84</v>
          </cell>
        </row>
        <row r="10">
          <cell r="E10">
            <v>15413429.72</v>
          </cell>
        </row>
        <row r="11">
          <cell r="E11">
            <v>10511803.76</v>
          </cell>
        </row>
        <row r="12">
          <cell r="E12">
            <v>661530.25</v>
          </cell>
        </row>
        <row r="13">
          <cell r="E13">
            <v>37566405.84</v>
          </cell>
        </row>
        <row r="14">
          <cell r="E14">
            <v>436420.61</v>
          </cell>
        </row>
        <row r="15">
          <cell r="E15">
            <v>5032858.87</v>
          </cell>
        </row>
        <row r="16">
          <cell r="E16">
            <v>10167452.38</v>
          </cell>
        </row>
        <row r="17">
          <cell r="E17">
            <v>2396163.87</v>
          </cell>
        </row>
        <row r="18">
          <cell r="E18">
            <v>38731441.76</v>
          </cell>
        </row>
        <row r="19">
          <cell r="E19">
            <v>5903153.53</v>
          </cell>
        </row>
        <row r="20">
          <cell r="E20">
            <v>568023.47</v>
          </cell>
        </row>
        <row r="21">
          <cell r="E21">
            <v>377059.63</v>
          </cell>
        </row>
        <row r="22">
          <cell r="E22">
            <v>1429448.44</v>
          </cell>
        </row>
        <row r="23">
          <cell r="E23">
            <v>6391664.98</v>
          </cell>
        </row>
        <row r="24">
          <cell r="E24">
            <v>99027.12</v>
          </cell>
        </row>
        <row r="25">
          <cell r="E25">
            <v>3159633.05</v>
          </cell>
        </row>
        <row r="26">
          <cell r="E26">
            <v>3259986.82</v>
          </cell>
        </row>
        <row r="27">
          <cell r="E27">
            <v>1497074.55</v>
          </cell>
        </row>
        <row r="28">
          <cell r="E28">
            <v>858908.39</v>
          </cell>
        </row>
        <row r="29">
          <cell r="E29">
            <v>2052302.5</v>
          </cell>
        </row>
        <row r="30">
          <cell r="E30">
            <v>27261.45</v>
          </cell>
        </row>
        <row r="31">
          <cell r="E31">
            <v>897939.57</v>
          </cell>
        </row>
        <row r="32">
          <cell r="E32">
            <v>338173.43</v>
          </cell>
        </row>
        <row r="33">
          <cell r="E33">
            <v>179382.35</v>
          </cell>
        </row>
        <row r="34">
          <cell r="E34">
            <v>114768.09</v>
          </cell>
        </row>
        <row r="35">
          <cell r="E35">
            <v>423077.09</v>
          </cell>
        </row>
        <row r="36">
          <cell r="E36">
            <v>421914.58</v>
          </cell>
        </row>
        <row r="37">
          <cell r="E37">
            <v>142623.32</v>
          </cell>
        </row>
        <row r="38">
          <cell r="E38">
            <v>126035.08</v>
          </cell>
        </row>
        <row r="39">
          <cell r="E39">
            <v>43788.42</v>
          </cell>
        </row>
        <row r="40">
          <cell r="E40">
            <v>2626055.72</v>
          </cell>
        </row>
        <row r="41">
          <cell r="E41">
            <v>85715.26</v>
          </cell>
        </row>
        <row r="42">
          <cell r="E42">
            <v>459543.9</v>
          </cell>
        </row>
        <row r="43">
          <cell r="E43">
            <v>1562162.13</v>
          </cell>
        </row>
        <row r="44">
          <cell r="E44">
            <v>612261.95</v>
          </cell>
        </row>
        <row r="45">
          <cell r="E45">
            <v>5951592.89</v>
          </cell>
        </row>
        <row r="47">
          <cell r="E47">
            <v>7007426.29</v>
          </cell>
        </row>
        <row r="48">
          <cell r="E48">
            <v>57630.55</v>
          </cell>
        </row>
        <row r="49">
          <cell r="E49">
            <v>215041.37</v>
          </cell>
        </row>
        <row r="50">
          <cell r="E50">
            <v>2626604.68</v>
          </cell>
        </row>
        <row r="51">
          <cell r="E51">
            <v>979213.56</v>
          </cell>
        </row>
        <row r="52">
          <cell r="E52">
            <v>2304638.19</v>
          </cell>
        </row>
        <row r="54">
          <cell r="E54">
            <v>2904547.32</v>
          </cell>
        </row>
        <row r="55">
          <cell r="E55">
            <v>138522.48</v>
          </cell>
        </row>
        <row r="56">
          <cell r="E56">
            <v>3202032.52</v>
          </cell>
        </row>
        <row r="57">
          <cell r="E57">
            <v>6672.7</v>
          </cell>
        </row>
        <row r="58">
          <cell r="E58">
            <v>80364.87</v>
          </cell>
        </row>
        <row r="59">
          <cell r="E59">
            <v>99645.79</v>
          </cell>
        </row>
        <row r="60">
          <cell r="E60">
            <v>47090.57</v>
          </cell>
        </row>
        <row r="61">
          <cell r="E61">
            <v>8231.61</v>
          </cell>
        </row>
        <row r="62">
          <cell r="E62">
            <v>38566.61</v>
          </cell>
        </row>
        <row r="63">
          <cell r="E63">
            <v>20321.73</v>
          </cell>
        </row>
        <row r="64">
          <cell r="E64">
            <v>6216.14</v>
          </cell>
        </row>
        <row r="65">
          <cell r="E65">
            <v>10114.6</v>
          </cell>
        </row>
        <row r="66">
          <cell r="E66">
            <v>23040.93</v>
          </cell>
        </row>
        <row r="68">
          <cell r="E68">
            <v>60312.61</v>
          </cell>
        </row>
        <row r="69">
          <cell r="E69">
            <v>2813.24</v>
          </cell>
        </row>
        <row r="70">
          <cell r="E70">
            <v>3252.54</v>
          </cell>
        </row>
        <row r="71">
          <cell r="E71">
            <v>11211.86</v>
          </cell>
        </row>
        <row r="72">
          <cell r="E72">
            <v>541650.69</v>
          </cell>
        </row>
        <row r="73">
          <cell r="E73">
            <v>28322.39</v>
          </cell>
        </row>
        <row r="74">
          <cell r="E74">
            <v>3744.14</v>
          </cell>
        </row>
        <row r="75">
          <cell r="E75">
            <v>20321.73</v>
          </cell>
        </row>
        <row r="76">
          <cell r="E76">
            <v>4783.36</v>
          </cell>
        </row>
        <row r="77">
          <cell r="E77">
            <v>7198.82</v>
          </cell>
        </row>
        <row r="78">
          <cell r="E78">
            <v>7730.47</v>
          </cell>
        </row>
        <row r="80">
          <cell r="E80">
            <v>3236112.38</v>
          </cell>
        </row>
        <row r="81">
          <cell r="E81">
            <v>44513.16</v>
          </cell>
        </row>
        <row r="83">
          <cell r="E83">
            <v>157019.32</v>
          </cell>
        </row>
        <row r="84">
          <cell r="E84">
            <v>987495.68</v>
          </cell>
        </row>
        <row r="85">
          <cell r="E85">
            <v>1302541.91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投资构成"/>
      <sheetName val="概算可研对比表1"/>
      <sheetName val="可研"/>
      <sheetName val="投资构成表"/>
      <sheetName val="指标表"/>
      <sheetName val="主体概算汇总表1"/>
      <sheetName val="妇产综合楼1"/>
      <sheetName val="室外工程1"/>
      <sheetName val="其他费用表1"/>
      <sheetName val="概算可研对比表2"/>
      <sheetName val="改移概算汇总表2"/>
      <sheetName val="污水站2"/>
      <sheetName val="液氧站2"/>
      <sheetName val="改移2"/>
      <sheetName val="其他费用表2"/>
      <sheetName val="医疗设备"/>
      <sheetName val="信息化建设"/>
      <sheetName val="Sheet3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48264.5</v>
          </cell>
        </row>
        <row r="5">
          <cell r="J5">
            <v>67510</v>
          </cell>
        </row>
      </sheetData>
      <sheetData sheetId="6">
        <row r="5">
          <cell r="I5">
            <v>67510</v>
          </cell>
        </row>
      </sheetData>
      <sheetData sheetId="7"/>
      <sheetData sheetId="8"/>
      <sheetData sheetId="9"/>
      <sheetData sheetId="10">
        <row r="5">
          <cell r="G5">
            <v>1816.97</v>
          </cell>
        </row>
        <row r="7">
          <cell r="J7">
            <v>300</v>
          </cell>
        </row>
        <row r="8">
          <cell r="J8">
            <v>60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workbookViewId="0">
      <selection activeCell="L9" sqref="L9"/>
    </sheetView>
  </sheetViews>
  <sheetFormatPr defaultColWidth="9" defaultRowHeight="13.5" outlineLevelCol="7"/>
  <cols>
    <col min="1" max="1" width="7.5" style="132" customWidth="true"/>
    <col min="2" max="2" width="43.5" customWidth="true"/>
    <col min="3" max="3" width="9" style="132"/>
    <col min="4" max="4" width="11.75" customWidth="true"/>
    <col min="5" max="5" width="12.125" customWidth="true"/>
    <col min="8" max="8" width="10.625" customWidth="true"/>
    <col min="13" max="13" width="19.875" customWidth="true"/>
  </cols>
  <sheetData>
    <row r="1" ht="36.75" customHeight="true" spans="1:8">
      <c r="A1" s="134" t="s">
        <v>0</v>
      </c>
      <c r="B1" s="134"/>
      <c r="C1" s="134"/>
      <c r="D1" s="134"/>
      <c r="E1" s="134"/>
      <c r="F1" s="134"/>
      <c r="G1" s="134"/>
      <c r="H1" s="134"/>
    </row>
    <row r="2" s="132" customFormat="true" spans="1:8">
      <c r="A2" s="135" t="s">
        <v>1</v>
      </c>
      <c r="B2" s="135" t="s">
        <v>2</v>
      </c>
      <c r="C2" s="135" t="s">
        <v>3</v>
      </c>
      <c r="D2" s="135" t="s">
        <v>4</v>
      </c>
      <c r="E2" s="135" t="s">
        <v>5</v>
      </c>
      <c r="F2" s="135" t="s">
        <v>6</v>
      </c>
      <c r="G2" s="135" t="s">
        <v>7</v>
      </c>
      <c r="H2" s="135" t="s">
        <v>8</v>
      </c>
    </row>
    <row r="3" s="133" customFormat="true" spans="1:8">
      <c r="A3" s="136" t="s">
        <v>9</v>
      </c>
      <c r="B3" s="137" t="s">
        <v>10</v>
      </c>
      <c r="C3" s="136"/>
      <c r="D3" s="138">
        <v>29179.93</v>
      </c>
      <c r="E3" s="138">
        <v>19995.52</v>
      </c>
      <c r="F3" s="138">
        <v>906.02</v>
      </c>
      <c r="G3" s="138">
        <v>0</v>
      </c>
      <c r="H3" s="138">
        <v>50081.47</v>
      </c>
    </row>
    <row r="4" s="133" customFormat="true" spans="1:8">
      <c r="A4" s="136" t="s">
        <v>11</v>
      </c>
      <c r="B4" s="137" t="s">
        <v>12</v>
      </c>
      <c r="C4" s="136" t="s">
        <v>13</v>
      </c>
      <c r="D4" s="138">
        <v>28332.02</v>
      </c>
      <c r="E4" s="138">
        <v>16334.14</v>
      </c>
      <c r="F4" s="138">
        <v>906.02</v>
      </c>
      <c r="G4" s="138"/>
      <c r="H4" s="138">
        <v>45572.18</v>
      </c>
    </row>
    <row r="5" spans="1:8">
      <c r="A5" s="135">
        <v>1</v>
      </c>
      <c r="B5" s="121" t="s">
        <v>14</v>
      </c>
      <c r="C5" s="135"/>
      <c r="D5" s="139">
        <v>19783.07</v>
      </c>
      <c r="E5" s="139">
        <v>0</v>
      </c>
      <c r="F5" s="139">
        <v>0</v>
      </c>
      <c r="G5" s="139"/>
      <c r="H5" s="139">
        <v>19783.07</v>
      </c>
    </row>
    <row r="6" spans="1:8">
      <c r="A6" s="135">
        <v>2</v>
      </c>
      <c r="B6" s="121" t="s">
        <v>15</v>
      </c>
      <c r="C6" s="135"/>
      <c r="D6" s="139">
        <v>8481.44</v>
      </c>
      <c r="E6" s="139">
        <v>0</v>
      </c>
      <c r="F6" s="139">
        <v>0</v>
      </c>
      <c r="G6" s="139"/>
      <c r="H6" s="139">
        <v>8481.44</v>
      </c>
    </row>
    <row r="7" spans="1:8">
      <c r="A7" s="135" t="s">
        <v>16</v>
      </c>
      <c r="B7" s="121" t="s">
        <v>17</v>
      </c>
      <c r="C7" s="135"/>
      <c r="D7" s="139">
        <v>0</v>
      </c>
      <c r="E7" s="139">
        <v>2592.52</v>
      </c>
      <c r="F7" s="139">
        <v>0</v>
      </c>
      <c r="G7" s="139"/>
      <c r="H7" s="139">
        <v>2592.52</v>
      </c>
    </row>
    <row r="8" spans="1:8">
      <c r="A8" s="135" t="s">
        <v>18</v>
      </c>
      <c r="B8" s="121" t="s">
        <v>19</v>
      </c>
      <c r="C8" s="135"/>
      <c r="D8" s="139">
        <v>0</v>
      </c>
      <c r="E8" s="139">
        <v>3822.79</v>
      </c>
      <c r="F8" s="139">
        <v>0</v>
      </c>
      <c r="G8" s="139"/>
      <c r="H8" s="139">
        <v>3822.79</v>
      </c>
    </row>
    <row r="9" spans="1:8">
      <c r="A9" s="135" t="s">
        <v>20</v>
      </c>
      <c r="B9" s="121" t="s">
        <v>21</v>
      </c>
      <c r="C9" s="135"/>
      <c r="D9" s="139">
        <v>0</v>
      </c>
      <c r="E9" s="139">
        <v>546.93</v>
      </c>
      <c r="F9" s="139">
        <v>0</v>
      </c>
      <c r="G9" s="139"/>
      <c r="H9" s="139">
        <v>546.93</v>
      </c>
    </row>
    <row r="10" spans="1:8">
      <c r="A10" s="135" t="s">
        <v>22</v>
      </c>
      <c r="B10" s="121" t="s">
        <v>23</v>
      </c>
      <c r="C10" s="135"/>
      <c r="D10" s="139">
        <v>0</v>
      </c>
      <c r="E10" s="139">
        <v>5129.5</v>
      </c>
      <c r="F10" s="139">
        <v>0</v>
      </c>
      <c r="G10" s="139"/>
      <c r="H10" s="139">
        <v>5129.5</v>
      </c>
    </row>
    <row r="11" spans="1:8">
      <c r="A11" s="135" t="s">
        <v>24</v>
      </c>
      <c r="B11" s="121" t="s">
        <v>25</v>
      </c>
      <c r="C11" s="135"/>
      <c r="D11" s="139">
        <v>0</v>
      </c>
      <c r="E11" s="139">
        <v>3365.71</v>
      </c>
      <c r="F11" s="139">
        <v>0</v>
      </c>
      <c r="G11" s="139"/>
      <c r="H11" s="139">
        <v>3365.71</v>
      </c>
    </row>
    <row r="12" spans="1:8">
      <c r="A12" s="135" t="s">
        <v>26</v>
      </c>
      <c r="B12" s="121" t="s">
        <v>27</v>
      </c>
      <c r="C12" s="135" t="s">
        <v>28</v>
      </c>
      <c r="D12" s="139">
        <v>0</v>
      </c>
      <c r="E12" s="139">
        <v>49.14</v>
      </c>
      <c r="F12" s="139">
        <v>546.02</v>
      </c>
      <c r="G12" s="139"/>
      <c r="H12" s="139">
        <v>595.16</v>
      </c>
    </row>
    <row r="13" spans="1:8">
      <c r="A13" s="135" t="s">
        <v>29</v>
      </c>
      <c r="B13" s="121" t="s">
        <v>30</v>
      </c>
      <c r="C13" s="135" t="s">
        <v>31</v>
      </c>
      <c r="D13" s="139">
        <v>0</v>
      </c>
      <c r="E13" s="139">
        <v>450</v>
      </c>
      <c r="F13" s="139">
        <v>0</v>
      </c>
      <c r="G13" s="139"/>
      <c r="H13" s="139">
        <v>450</v>
      </c>
    </row>
    <row r="14" spans="1:8">
      <c r="A14" s="135" t="s">
        <v>32</v>
      </c>
      <c r="B14" s="121" t="s">
        <v>33</v>
      </c>
      <c r="C14" s="135"/>
      <c r="D14" s="139">
        <v>0</v>
      </c>
      <c r="E14" s="139">
        <v>337.55</v>
      </c>
      <c r="F14" s="139">
        <v>0</v>
      </c>
      <c r="G14" s="139"/>
      <c r="H14" s="139">
        <v>337.55</v>
      </c>
    </row>
    <row r="15" spans="1:8">
      <c r="A15" s="135" t="s">
        <v>34</v>
      </c>
      <c r="B15" s="121" t="s">
        <v>35</v>
      </c>
      <c r="C15" s="135" t="s">
        <v>36</v>
      </c>
      <c r="D15" s="139">
        <v>0</v>
      </c>
      <c r="E15" s="139">
        <v>40</v>
      </c>
      <c r="F15" s="139">
        <v>360</v>
      </c>
      <c r="G15" s="139"/>
      <c r="H15" s="139">
        <v>400</v>
      </c>
    </row>
    <row r="16" spans="1:8">
      <c r="A16" s="135" t="s">
        <v>37</v>
      </c>
      <c r="B16" s="121" t="s">
        <v>38</v>
      </c>
      <c r="C16" s="135"/>
      <c r="D16" s="139">
        <v>67.51</v>
      </c>
      <c r="E16" s="139">
        <v>0</v>
      </c>
      <c r="F16" s="139"/>
      <c r="G16" s="139"/>
      <c r="H16" s="139">
        <v>67.51</v>
      </c>
    </row>
    <row r="17" s="133" customFormat="true" spans="1:8">
      <c r="A17" s="136" t="s">
        <v>39</v>
      </c>
      <c r="B17" s="137" t="s">
        <v>40</v>
      </c>
      <c r="C17" s="136" t="s">
        <v>41</v>
      </c>
      <c r="D17" s="138">
        <v>304.3</v>
      </c>
      <c r="E17" s="138">
        <v>355.72</v>
      </c>
      <c r="F17" s="138"/>
      <c r="G17" s="138"/>
      <c r="H17" s="138">
        <v>660.02</v>
      </c>
    </row>
    <row r="18" spans="1:8">
      <c r="A18" s="135">
        <v>1</v>
      </c>
      <c r="B18" s="121" t="s">
        <v>14</v>
      </c>
      <c r="C18" s="135"/>
      <c r="D18" s="139">
        <v>290.45</v>
      </c>
      <c r="E18" s="139">
        <v>0</v>
      </c>
      <c r="F18" s="139"/>
      <c r="G18" s="139"/>
      <c r="H18" s="139">
        <v>290.45</v>
      </c>
    </row>
    <row r="19" spans="1:8">
      <c r="A19" s="135">
        <v>2</v>
      </c>
      <c r="B19" s="121" t="s">
        <v>15</v>
      </c>
      <c r="C19" s="135"/>
      <c r="D19" s="139">
        <v>13.85</v>
      </c>
      <c r="E19" s="139">
        <v>0</v>
      </c>
      <c r="F19" s="139"/>
      <c r="G19" s="139"/>
      <c r="H19" s="139">
        <v>13.85</v>
      </c>
    </row>
    <row r="20" spans="1:8">
      <c r="A20" s="135" t="s">
        <v>16</v>
      </c>
      <c r="B20" s="121" t="s">
        <v>42</v>
      </c>
      <c r="C20" s="135"/>
      <c r="D20" s="139">
        <v>0</v>
      </c>
      <c r="E20" s="139">
        <v>320.2</v>
      </c>
      <c r="F20" s="139"/>
      <c r="G20" s="139"/>
      <c r="H20" s="139">
        <v>320.2</v>
      </c>
    </row>
    <row r="21" spans="1:8">
      <c r="A21" s="135" t="s">
        <v>18</v>
      </c>
      <c r="B21" s="121" t="s">
        <v>19</v>
      </c>
      <c r="C21" s="135"/>
      <c r="D21" s="139">
        <v>0</v>
      </c>
      <c r="E21" s="139">
        <v>8.71</v>
      </c>
      <c r="F21" s="139"/>
      <c r="G21" s="139"/>
      <c r="H21" s="139">
        <v>8.71</v>
      </c>
    </row>
    <row r="22" spans="1:8">
      <c r="A22" s="135" t="s">
        <v>20</v>
      </c>
      <c r="B22" s="121" t="s">
        <v>23</v>
      </c>
      <c r="C22" s="135"/>
      <c r="D22" s="139">
        <v>0</v>
      </c>
      <c r="E22" s="139">
        <v>9.96</v>
      </c>
      <c r="F22" s="139"/>
      <c r="G22" s="139"/>
      <c r="H22" s="139">
        <v>9.96</v>
      </c>
    </row>
    <row r="23" spans="1:8">
      <c r="A23" s="135" t="s">
        <v>22</v>
      </c>
      <c r="B23" s="121" t="s">
        <v>25</v>
      </c>
      <c r="C23" s="135"/>
      <c r="D23" s="139">
        <v>0</v>
      </c>
      <c r="E23" s="139">
        <v>15.35</v>
      </c>
      <c r="F23" s="139"/>
      <c r="G23" s="139"/>
      <c r="H23" s="139">
        <v>15.35</v>
      </c>
    </row>
    <row r="24" spans="1:8">
      <c r="A24" s="135" t="s">
        <v>24</v>
      </c>
      <c r="B24" s="121" t="s">
        <v>33</v>
      </c>
      <c r="C24" s="135"/>
      <c r="D24" s="139">
        <v>0</v>
      </c>
      <c r="E24" s="139">
        <v>1.5</v>
      </c>
      <c r="F24" s="139"/>
      <c r="G24" s="139"/>
      <c r="H24" s="139">
        <v>1.5</v>
      </c>
    </row>
    <row r="25" s="133" customFormat="true" spans="1:8">
      <c r="A25" s="136" t="s">
        <v>43</v>
      </c>
      <c r="B25" s="137" t="s">
        <v>44</v>
      </c>
      <c r="C25" s="136" t="s">
        <v>45</v>
      </c>
      <c r="D25" s="138">
        <v>31.83</v>
      </c>
      <c r="E25" s="138">
        <v>63.4</v>
      </c>
      <c r="F25" s="138"/>
      <c r="G25" s="138"/>
      <c r="H25" s="138">
        <v>95.23</v>
      </c>
    </row>
    <row r="26" spans="1:8">
      <c r="A26" s="135">
        <v>1</v>
      </c>
      <c r="B26" s="121" t="s">
        <v>14</v>
      </c>
      <c r="C26" s="135"/>
      <c r="D26" s="139">
        <v>25.8</v>
      </c>
      <c r="E26" s="139">
        <v>0</v>
      </c>
      <c r="F26" s="139"/>
      <c r="G26" s="139"/>
      <c r="H26" s="139">
        <v>25.8</v>
      </c>
    </row>
    <row r="27" spans="1:8">
      <c r="A27" s="135">
        <v>2</v>
      </c>
      <c r="B27" s="121" t="s">
        <v>15</v>
      </c>
      <c r="C27" s="135"/>
      <c r="D27" s="139">
        <v>6.03</v>
      </c>
      <c r="E27" s="139">
        <v>0</v>
      </c>
      <c r="F27" s="139"/>
      <c r="G27" s="139"/>
      <c r="H27" s="139">
        <v>6.03</v>
      </c>
    </row>
    <row r="28" spans="1:8">
      <c r="A28" s="135" t="s">
        <v>16</v>
      </c>
      <c r="B28" s="121" t="s">
        <v>17</v>
      </c>
      <c r="C28" s="135"/>
      <c r="D28" s="139">
        <v>0</v>
      </c>
      <c r="E28" s="139">
        <v>0.28</v>
      </c>
      <c r="F28" s="139"/>
      <c r="G28" s="139"/>
      <c r="H28" s="139">
        <v>0.28</v>
      </c>
    </row>
    <row r="29" spans="1:8">
      <c r="A29" s="135" t="s">
        <v>18</v>
      </c>
      <c r="B29" s="121" t="s">
        <v>19</v>
      </c>
      <c r="C29" s="135"/>
      <c r="D29" s="139">
        <v>0</v>
      </c>
      <c r="E29" s="139">
        <v>1.45</v>
      </c>
      <c r="F29" s="139"/>
      <c r="G29" s="139"/>
      <c r="H29" s="139">
        <v>1.45</v>
      </c>
    </row>
    <row r="30" spans="1:8">
      <c r="A30" s="135" t="s">
        <v>20</v>
      </c>
      <c r="B30" s="121" t="s">
        <v>21</v>
      </c>
      <c r="C30" s="135"/>
      <c r="D30" s="139">
        <v>0</v>
      </c>
      <c r="E30" s="139">
        <v>54.17</v>
      </c>
      <c r="F30" s="139"/>
      <c r="G30" s="139"/>
      <c r="H30" s="139">
        <v>54.17</v>
      </c>
    </row>
    <row r="31" spans="1:8">
      <c r="A31" s="135" t="s">
        <v>22</v>
      </c>
      <c r="B31" s="121" t="s">
        <v>23</v>
      </c>
      <c r="C31" s="135"/>
      <c r="D31" s="139">
        <v>0</v>
      </c>
      <c r="E31" s="139">
        <v>2.83</v>
      </c>
      <c r="F31" s="139"/>
      <c r="G31" s="139"/>
      <c r="H31" s="139">
        <v>2.83</v>
      </c>
    </row>
    <row r="32" spans="1:8">
      <c r="A32" s="135" t="s">
        <v>24</v>
      </c>
      <c r="B32" s="121" t="s">
        <v>25</v>
      </c>
      <c r="C32" s="135"/>
      <c r="D32" s="139">
        <v>0</v>
      </c>
      <c r="E32" s="139">
        <v>4.37</v>
      </c>
      <c r="F32" s="139"/>
      <c r="G32" s="139"/>
      <c r="H32" s="139">
        <v>4.37</v>
      </c>
    </row>
    <row r="33" spans="1:8">
      <c r="A33" s="135" t="s">
        <v>26</v>
      </c>
      <c r="B33" s="121" t="s">
        <v>33</v>
      </c>
      <c r="C33" s="135"/>
      <c r="D33" s="139">
        <v>0</v>
      </c>
      <c r="E33" s="139">
        <v>0.3</v>
      </c>
      <c r="F33" s="139"/>
      <c r="G33" s="139"/>
      <c r="H33" s="139">
        <v>0.3</v>
      </c>
    </row>
    <row r="34" s="133" customFormat="true" spans="1:8">
      <c r="A34" s="136" t="s">
        <v>46</v>
      </c>
      <c r="B34" s="137" t="s">
        <v>47</v>
      </c>
      <c r="C34" s="136"/>
      <c r="D34" s="138">
        <v>158.04</v>
      </c>
      <c r="E34" s="138">
        <v>903.68</v>
      </c>
      <c r="F34" s="138"/>
      <c r="G34" s="138"/>
      <c r="H34" s="138">
        <v>1061.72</v>
      </c>
    </row>
    <row r="35" spans="1:8">
      <c r="A35" s="135" t="s">
        <v>48</v>
      </c>
      <c r="B35" s="121" t="s">
        <v>49</v>
      </c>
      <c r="C35" s="140" t="s">
        <v>50</v>
      </c>
      <c r="D35" s="139">
        <v>158.04</v>
      </c>
      <c r="E35" s="139">
        <v>0</v>
      </c>
      <c r="F35" s="139"/>
      <c r="G35" s="139"/>
      <c r="H35" s="139">
        <v>158.04</v>
      </c>
    </row>
    <row r="36" spans="1:8">
      <c r="A36" s="135" t="s">
        <v>51</v>
      </c>
      <c r="B36" s="121" t="s">
        <v>52</v>
      </c>
      <c r="C36" s="135"/>
      <c r="D36" s="139">
        <v>0</v>
      </c>
      <c r="E36" s="139">
        <v>328.06</v>
      </c>
      <c r="F36" s="139"/>
      <c r="G36" s="139"/>
      <c r="H36" s="139">
        <v>328.06</v>
      </c>
    </row>
    <row r="37" spans="1:8">
      <c r="A37" s="135" t="s">
        <v>16</v>
      </c>
      <c r="B37" s="121" t="s">
        <v>53</v>
      </c>
      <c r="C37" s="135"/>
      <c r="D37" s="139">
        <v>0</v>
      </c>
      <c r="E37" s="139">
        <v>394.71</v>
      </c>
      <c r="F37" s="139"/>
      <c r="G37" s="139"/>
      <c r="H37" s="139">
        <v>394.71</v>
      </c>
    </row>
    <row r="38" spans="1:8">
      <c r="A38" s="135" t="s">
        <v>18</v>
      </c>
      <c r="B38" s="121" t="s">
        <v>54</v>
      </c>
      <c r="C38" s="135"/>
      <c r="D38" s="139">
        <v>0</v>
      </c>
      <c r="E38" s="139">
        <v>180.91</v>
      </c>
      <c r="F38" s="139"/>
      <c r="G38" s="139"/>
      <c r="H38" s="139">
        <v>180.91</v>
      </c>
    </row>
    <row r="39" s="133" customFormat="true" spans="1:8">
      <c r="A39" s="136" t="s">
        <v>55</v>
      </c>
      <c r="B39" s="137" t="s">
        <v>56</v>
      </c>
      <c r="C39" s="136"/>
      <c r="D39" s="138">
        <v>353.74</v>
      </c>
      <c r="E39" s="138">
        <v>2338.58</v>
      </c>
      <c r="F39" s="138"/>
      <c r="G39" s="138"/>
      <c r="H39" s="138">
        <v>2692.32</v>
      </c>
    </row>
    <row r="40" spans="1:8">
      <c r="A40" s="135" t="s">
        <v>48</v>
      </c>
      <c r="B40" s="121" t="s">
        <v>57</v>
      </c>
      <c r="C40" s="135"/>
      <c r="D40" s="139">
        <v>14.74</v>
      </c>
      <c r="E40" s="139">
        <v>0</v>
      </c>
      <c r="F40" s="139"/>
      <c r="G40" s="139"/>
      <c r="H40" s="139">
        <v>14.74</v>
      </c>
    </row>
    <row r="41" spans="1:8">
      <c r="A41" s="135" t="s">
        <v>51</v>
      </c>
      <c r="B41" s="121" t="s">
        <v>58</v>
      </c>
      <c r="C41" s="135"/>
      <c r="D41" s="139">
        <v>0</v>
      </c>
      <c r="E41" s="139">
        <v>1088.58</v>
      </c>
      <c r="F41" s="139"/>
      <c r="G41" s="139"/>
      <c r="H41" s="139">
        <v>1088.58</v>
      </c>
    </row>
    <row r="42" spans="1:8">
      <c r="A42" s="135" t="s">
        <v>16</v>
      </c>
      <c r="B42" s="121" t="s">
        <v>59</v>
      </c>
      <c r="C42" s="135"/>
      <c r="D42" s="139">
        <v>230.46</v>
      </c>
      <c r="E42" s="139">
        <v>0</v>
      </c>
      <c r="F42" s="139"/>
      <c r="G42" s="139"/>
      <c r="H42" s="139">
        <v>230.46</v>
      </c>
    </row>
    <row r="43" spans="1:8">
      <c r="A43" s="135" t="s">
        <v>18</v>
      </c>
      <c r="B43" s="121" t="s">
        <v>60</v>
      </c>
      <c r="C43" s="135"/>
      <c r="D43" s="139">
        <v>73.54</v>
      </c>
      <c r="E43" s="139">
        <v>0</v>
      </c>
      <c r="F43" s="139"/>
      <c r="G43" s="139"/>
      <c r="H43" s="139">
        <v>73.54</v>
      </c>
    </row>
    <row r="44" spans="1:8">
      <c r="A44" s="135" t="s">
        <v>22</v>
      </c>
      <c r="B44" s="121" t="s">
        <v>61</v>
      </c>
      <c r="C44" s="135"/>
      <c r="D44" s="139">
        <v>0</v>
      </c>
      <c r="E44" s="139">
        <v>50</v>
      </c>
      <c r="F44" s="139"/>
      <c r="G44" s="139"/>
      <c r="H44" s="139">
        <v>50</v>
      </c>
    </row>
    <row r="45" spans="1:8">
      <c r="A45" s="135" t="s">
        <v>24</v>
      </c>
      <c r="B45" s="121" t="s">
        <v>62</v>
      </c>
      <c r="C45" s="135"/>
      <c r="D45" s="139">
        <v>35</v>
      </c>
      <c r="E45" s="139">
        <v>0</v>
      </c>
      <c r="F45" s="139"/>
      <c r="G45" s="139"/>
      <c r="H45" s="139">
        <v>35</v>
      </c>
    </row>
    <row r="46" spans="1:8">
      <c r="A46" s="135" t="s">
        <v>26</v>
      </c>
      <c r="B46" s="121" t="s">
        <v>63</v>
      </c>
      <c r="C46" s="135"/>
      <c r="D46" s="139">
        <v>0</v>
      </c>
      <c r="E46" s="139">
        <v>1200</v>
      </c>
      <c r="F46" s="139"/>
      <c r="G46" s="139"/>
      <c r="H46" s="139">
        <v>1200</v>
      </c>
    </row>
    <row r="47" s="133" customFormat="true" spans="1:8">
      <c r="A47" s="136" t="s">
        <v>64</v>
      </c>
      <c r="B47" s="137" t="s">
        <v>65</v>
      </c>
      <c r="C47" s="136"/>
      <c r="D47" s="138"/>
      <c r="E47" s="138"/>
      <c r="F47" s="138"/>
      <c r="G47" s="138">
        <v>3933.48</v>
      </c>
      <c r="H47" s="138">
        <v>3933.48</v>
      </c>
    </row>
    <row r="48" spans="1:8">
      <c r="A48" s="135">
        <v>1</v>
      </c>
      <c r="B48" s="121" t="s">
        <v>66</v>
      </c>
      <c r="C48" s="135"/>
      <c r="D48" s="139"/>
      <c r="E48" s="139"/>
      <c r="F48" s="139"/>
      <c r="G48" s="139">
        <v>27.8</v>
      </c>
      <c r="H48" s="139">
        <v>27.8</v>
      </c>
    </row>
    <row r="49" spans="1:8">
      <c r="A49" s="135">
        <v>2</v>
      </c>
      <c r="B49" s="121" t="s">
        <v>67</v>
      </c>
      <c r="C49" s="135"/>
      <c r="D49" s="139"/>
      <c r="E49" s="139"/>
      <c r="F49" s="139"/>
      <c r="G49" s="139">
        <v>1032.35</v>
      </c>
      <c r="H49" s="139">
        <v>1032.35</v>
      </c>
    </row>
    <row r="50" spans="1:8">
      <c r="A50" s="135">
        <v>3</v>
      </c>
      <c r="B50" s="121" t="s">
        <v>68</v>
      </c>
      <c r="C50" s="135"/>
      <c r="D50" s="139"/>
      <c r="E50" s="139"/>
      <c r="F50" s="139"/>
      <c r="G50" s="139">
        <v>14.9</v>
      </c>
      <c r="H50" s="139">
        <v>14.9</v>
      </c>
    </row>
    <row r="51" spans="1:8">
      <c r="A51" s="135">
        <v>4</v>
      </c>
      <c r="B51" s="121" t="s">
        <v>69</v>
      </c>
      <c r="C51" s="135"/>
      <c r="D51" s="139"/>
      <c r="E51" s="139"/>
      <c r="F51" s="139"/>
      <c r="G51" s="139">
        <v>29.6</v>
      </c>
      <c r="H51" s="139">
        <v>29.6</v>
      </c>
    </row>
    <row r="52" spans="1:8">
      <c r="A52" s="135">
        <v>5</v>
      </c>
      <c r="B52" s="121" t="s">
        <v>70</v>
      </c>
      <c r="C52" s="135"/>
      <c r="D52" s="139"/>
      <c r="E52" s="139"/>
      <c r="F52" s="139"/>
      <c r="G52" s="139">
        <v>61.81</v>
      </c>
      <c r="H52" s="139">
        <v>61.81</v>
      </c>
    </row>
    <row r="53" spans="1:8">
      <c r="A53" s="135">
        <v>6</v>
      </c>
      <c r="B53" s="121" t="s">
        <v>71</v>
      </c>
      <c r="C53" s="135"/>
      <c r="D53" s="139"/>
      <c r="E53" s="139"/>
      <c r="F53" s="139"/>
      <c r="G53" s="139">
        <v>20.43</v>
      </c>
      <c r="H53" s="139">
        <v>20.43</v>
      </c>
    </row>
    <row r="54" spans="1:8">
      <c r="A54" s="135">
        <v>7</v>
      </c>
      <c r="B54" s="121" t="s">
        <v>72</v>
      </c>
      <c r="C54" s="135"/>
      <c r="D54" s="139"/>
      <c r="E54" s="139"/>
      <c r="F54" s="139"/>
      <c r="G54" s="139">
        <v>469.53</v>
      </c>
      <c r="H54" s="139">
        <v>469.53</v>
      </c>
    </row>
    <row r="55" spans="1:8">
      <c r="A55" s="135">
        <v>8</v>
      </c>
      <c r="B55" s="121" t="s">
        <v>73</v>
      </c>
      <c r="C55" s="135"/>
      <c r="D55" s="139"/>
      <c r="E55" s="139"/>
      <c r="F55" s="139"/>
      <c r="G55" s="139">
        <v>30</v>
      </c>
      <c r="H55" s="139">
        <v>30</v>
      </c>
    </row>
    <row r="56" spans="1:8">
      <c r="A56" s="135">
        <v>9</v>
      </c>
      <c r="B56" s="121" t="s">
        <v>74</v>
      </c>
      <c r="C56" s="135"/>
      <c r="D56" s="139"/>
      <c r="E56" s="139"/>
      <c r="F56" s="139"/>
      <c r="G56" s="139">
        <v>254.09</v>
      </c>
      <c r="H56" s="139">
        <v>254.09</v>
      </c>
    </row>
    <row r="57" spans="1:8">
      <c r="A57" s="135">
        <v>10</v>
      </c>
      <c r="B57" s="121" t="s">
        <v>75</v>
      </c>
      <c r="C57" s="135"/>
      <c r="D57" s="139"/>
      <c r="E57" s="139"/>
      <c r="F57" s="139"/>
      <c r="G57" s="139">
        <v>100.16</v>
      </c>
      <c r="H57" s="139">
        <v>100.16</v>
      </c>
    </row>
    <row r="58" spans="1:8">
      <c r="A58" s="135">
        <v>11</v>
      </c>
      <c r="B58" s="121" t="s">
        <v>76</v>
      </c>
      <c r="C58" s="135"/>
      <c r="D58" s="139"/>
      <c r="E58" s="139"/>
      <c r="F58" s="139"/>
      <c r="G58" s="139">
        <v>225.37</v>
      </c>
      <c r="H58" s="139">
        <v>225.37</v>
      </c>
    </row>
    <row r="59" spans="1:8">
      <c r="A59" s="135">
        <v>12</v>
      </c>
      <c r="B59" s="121" t="s">
        <v>77</v>
      </c>
      <c r="C59" s="135"/>
      <c r="D59" s="139"/>
      <c r="E59" s="139"/>
      <c r="F59" s="139"/>
      <c r="G59" s="139">
        <v>42.99</v>
      </c>
      <c r="H59" s="139">
        <v>42.99</v>
      </c>
    </row>
    <row r="60" spans="1:8">
      <c r="A60" s="135">
        <v>13</v>
      </c>
      <c r="B60" s="121" t="s">
        <v>78</v>
      </c>
      <c r="C60" s="135"/>
      <c r="D60" s="139"/>
      <c r="E60" s="139"/>
      <c r="F60" s="139"/>
      <c r="G60" s="139">
        <v>226.8</v>
      </c>
      <c r="H60" s="139">
        <v>226.8</v>
      </c>
    </row>
    <row r="61" spans="1:8">
      <c r="A61" s="135">
        <v>14</v>
      </c>
      <c r="B61" s="121" t="s">
        <v>79</v>
      </c>
      <c r="C61" s="135"/>
      <c r="D61" s="139"/>
      <c r="E61" s="139"/>
      <c r="F61" s="139"/>
      <c r="G61" s="139">
        <v>254.51</v>
      </c>
      <c r="H61" s="139">
        <v>254.51</v>
      </c>
    </row>
    <row r="62" spans="1:8">
      <c r="A62" s="135">
        <v>15</v>
      </c>
      <c r="B62" s="121" t="s">
        <v>80</v>
      </c>
      <c r="C62" s="135"/>
      <c r="D62" s="139"/>
      <c r="E62" s="139"/>
      <c r="F62" s="139"/>
      <c r="G62" s="139">
        <v>120</v>
      </c>
      <c r="H62" s="139">
        <v>120</v>
      </c>
    </row>
    <row r="63" spans="1:8">
      <c r="A63" s="135">
        <v>16</v>
      </c>
      <c r="B63" s="121" t="s">
        <v>81</v>
      </c>
      <c r="C63" s="135"/>
      <c r="D63" s="139"/>
      <c r="E63" s="139"/>
      <c r="F63" s="139"/>
      <c r="G63" s="139">
        <v>6.6</v>
      </c>
      <c r="H63" s="139">
        <v>6.6</v>
      </c>
    </row>
    <row r="64" spans="1:8">
      <c r="A64" s="135">
        <v>17</v>
      </c>
      <c r="B64" s="121" t="s">
        <v>82</v>
      </c>
      <c r="C64" s="135"/>
      <c r="D64" s="139"/>
      <c r="E64" s="139"/>
      <c r="F64" s="139"/>
      <c r="G64" s="139">
        <v>7.9</v>
      </c>
      <c r="H64" s="139">
        <v>7.9</v>
      </c>
    </row>
    <row r="65" spans="1:8">
      <c r="A65" s="135">
        <v>18</v>
      </c>
      <c r="B65" s="121" t="s">
        <v>83</v>
      </c>
      <c r="C65" s="135"/>
      <c r="D65" s="139"/>
      <c r="E65" s="139"/>
      <c r="F65" s="139"/>
      <c r="G65" s="139">
        <v>8</v>
      </c>
      <c r="H65" s="139">
        <v>8</v>
      </c>
    </row>
    <row r="66" spans="1:8">
      <c r="A66" s="135">
        <v>19</v>
      </c>
      <c r="B66" s="121" t="s">
        <v>84</v>
      </c>
      <c r="C66" s="135"/>
      <c r="D66" s="139"/>
      <c r="E66" s="139"/>
      <c r="F66" s="139"/>
      <c r="G66" s="139">
        <v>43.44</v>
      </c>
      <c r="H66" s="139">
        <v>43.44</v>
      </c>
    </row>
    <row r="67" spans="1:8">
      <c r="A67" s="135">
        <v>20</v>
      </c>
      <c r="B67" s="121" t="s">
        <v>85</v>
      </c>
      <c r="C67" s="135"/>
      <c r="D67" s="139"/>
      <c r="E67" s="139"/>
      <c r="F67" s="139"/>
      <c r="G67" s="139">
        <v>144.79</v>
      </c>
      <c r="H67" s="139">
        <v>144.79</v>
      </c>
    </row>
    <row r="68" spans="1:8">
      <c r="A68" s="135">
        <v>21</v>
      </c>
      <c r="B68" s="121" t="s">
        <v>86</v>
      </c>
      <c r="C68" s="135"/>
      <c r="D68" s="139"/>
      <c r="E68" s="139"/>
      <c r="F68" s="139"/>
      <c r="G68" s="139">
        <v>20</v>
      </c>
      <c r="H68" s="139">
        <v>20</v>
      </c>
    </row>
    <row r="69" spans="1:8">
      <c r="A69" s="135">
        <v>22</v>
      </c>
      <c r="B69" s="121" t="s">
        <v>87</v>
      </c>
      <c r="C69" s="135"/>
      <c r="D69" s="139"/>
      <c r="E69" s="139"/>
      <c r="F69" s="139"/>
      <c r="G69" s="139">
        <v>10</v>
      </c>
      <c r="H69" s="139">
        <v>10</v>
      </c>
    </row>
    <row r="70" spans="1:8">
      <c r="A70" s="135">
        <v>23</v>
      </c>
      <c r="B70" s="121" t="s">
        <v>88</v>
      </c>
      <c r="C70" s="135"/>
      <c r="D70" s="139"/>
      <c r="E70" s="139"/>
      <c r="F70" s="139"/>
      <c r="G70" s="139">
        <v>64</v>
      </c>
      <c r="H70" s="139">
        <v>64</v>
      </c>
    </row>
    <row r="71" spans="1:8">
      <c r="A71" s="135">
        <v>24</v>
      </c>
      <c r="B71" s="121" t="s">
        <v>89</v>
      </c>
      <c r="C71" s="135"/>
      <c r="D71" s="139"/>
      <c r="E71" s="139"/>
      <c r="F71" s="139"/>
      <c r="G71" s="139">
        <v>702.81</v>
      </c>
      <c r="H71" s="139">
        <v>702.81</v>
      </c>
    </row>
    <row r="72" spans="1:8">
      <c r="A72" s="135">
        <v>25</v>
      </c>
      <c r="B72" s="121" t="s">
        <v>90</v>
      </c>
      <c r="C72" s="135"/>
      <c r="D72" s="139"/>
      <c r="E72" s="139"/>
      <c r="F72" s="139"/>
      <c r="G72" s="139">
        <v>15</v>
      </c>
      <c r="H72" s="139">
        <v>15</v>
      </c>
    </row>
    <row r="73" spans="1:8">
      <c r="A73" s="135">
        <v>26</v>
      </c>
      <c r="B73" s="121" t="s">
        <v>91</v>
      </c>
      <c r="C73" s="135"/>
      <c r="D73" s="139"/>
      <c r="E73" s="139"/>
      <c r="F73" s="139"/>
      <c r="G73" s="139">
        <v>0.6</v>
      </c>
      <c r="H73" s="139">
        <v>0.6</v>
      </c>
    </row>
    <row r="74" s="133" customFormat="true" spans="1:8">
      <c r="A74" s="136" t="s">
        <v>92</v>
      </c>
      <c r="B74" s="137" t="s">
        <v>93</v>
      </c>
      <c r="C74" s="136"/>
      <c r="D74" s="138"/>
      <c r="E74" s="138"/>
      <c r="F74" s="138"/>
      <c r="G74" s="138">
        <v>1932.45</v>
      </c>
      <c r="H74" s="138">
        <v>1932.45</v>
      </c>
    </row>
    <row r="75" spans="1:8">
      <c r="A75" s="135">
        <v>1</v>
      </c>
      <c r="B75" s="121" t="s">
        <v>94</v>
      </c>
      <c r="C75" s="135"/>
      <c r="D75" s="139"/>
      <c r="E75" s="139"/>
      <c r="F75" s="139"/>
      <c r="G75" s="139">
        <v>1932.45</v>
      </c>
      <c r="H75" s="139">
        <v>1932.45</v>
      </c>
    </row>
    <row r="76" s="133" customFormat="true" spans="1:8">
      <c r="A76" s="136" t="s">
        <v>95</v>
      </c>
      <c r="B76" s="137" t="s">
        <v>96</v>
      </c>
      <c r="C76" s="136"/>
      <c r="D76" s="138"/>
      <c r="E76" s="138"/>
      <c r="F76" s="138"/>
      <c r="G76" s="138">
        <v>1800</v>
      </c>
      <c r="H76" s="138">
        <v>1800</v>
      </c>
    </row>
    <row r="77" s="133" customFormat="true" spans="1:8">
      <c r="A77" s="136" t="s">
        <v>97</v>
      </c>
      <c r="B77" s="137" t="s">
        <v>98</v>
      </c>
      <c r="C77" s="136"/>
      <c r="D77" s="138"/>
      <c r="E77" s="138"/>
      <c r="F77" s="138"/>
      <c r="G77" s="138">
        <v>2352</v>
      </c>
      <c r="H77" s="138">
        <v>2352</v>
      </c>
    </row>
    <row r="78" s="133" customFormat="true" spans="1:8">
      <c r="A78" s="136" t="s">
        <v>99</v>
      </c>
      <c r="B78" s="137" t="s">
        <v>100</v>
      </c>
      <c r="C78" s="136"/>
      <c r="D78" s="138">
        <v>29179.93</v>
      </c>
      <c r="E78" s="138">
        <v>19995.52</v>
      </c>
      <c r="F78" s="138">
        <v>906.02</v>
      </c>
      <c r="G78" s="138">
        <v>10017.93</v>
      </c>
      <c r="H78" s="138">
        <v>60099.4</v>
      </c>
    </row>
  </sheetData>
  <mergeCells count="1">
    <mergeCell ref="A1:H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workbookViewId="0">
      <selection activeCell="D12" sqref="D12"/>
    </sheetView>
  </sheetViews>
  <sheetFormatPr defaultColWidth="10" defaultRowHeight="15.75"/>
  <cols>
    <col min="1" max="1" width="7.5" style="7" customWidth="true"/>
    <col min="2" max="2" width="31.375" style="8" customWidth="true"/>
    <col min="3" max="5" width="12.25" style="8" customWidth="true"/>
    <col min="6" max="6" width="12" style="8" customWidth="true"/>
    <col min="7" max="7" width="7.25" style="8" customWidth="true"/>
    <col min="8" max="8" width="5.375" style="8" customWidth="true"/>
    <col min="9" max="9" width="11.5" style="9" customWidth="true"/>
    <col min="10" max="10" width="11.25" style="10" customWidth="true"/>
    <col min="11" max="11" width="10.75" style="8" customWidth="true"/>
    <col min="12" max="12" width="13.625" style="8" customWidth="true"/>
    <col min="13" max="13" width="10" style="11"/>
    <col min="14" max="14" width="12.375" style="11" customWidth="true"/>
    <col min="15" max="16384" width="10" style="11"/>
  </cols>
  <sheetData>
    <row r="1" s="1" customFormat="true" ht="21.75" spans="1:12">
      <c r="A1" s="12" t="s">
        <v>206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2" customFormat="true" ht="13.5" spans="1:12">
      <c r="A2" s="14" t="s">
        <v>248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34"/>
    </row>
    <row r="3" s="3" customFormat="true" ht="23.25" customHeight="true" spans="1:12">
      <c r="A3" s="15" t="s">
        <v>1</v>
      </c>
      <c r="B3" s="16" t="s">
        <v>208</v>
      </c>
      <c r="C3" s="16" t="s">
        <v>209</v>
      </c>
      <c r="D3" s="16"/>
      <c r="E3" s="16"/>
      <c r="F3" s="16"/>
      <c r="G3" s="16" t="s">
        <v>210</v>
      </c>
      <c r="H3" s="16"/>
      <c r="I3" s="16"/>
      <c r="J3" s="16"/>
      <c r="K3" s="16"/>
      <c r="L3" s="35" t="s">
        <v>211</v>
      </c>
    </row>
    <row r="4" s="3" customFormat="true" ht="25.15" customHeight="true" spans="1:12">
      <c r="A4" s="15"/>
      <c r="B4" s="16"/>
      <c r="C4" s="16" t="s">
        <v>212</v>
      </c>
      <c r="D4" s="16" t="s">
        <v>213</v>
      </c>
      <c r="E4" s="16" t="s">
        <v>5</v>
      </c>
      <c r="F4" s="16" t="s">
        <v>8</v>
      </c>
      <c r="G4" s="16" t="s">
        <v>214</v>
      </c>
      <c r="H4" s="16" t="s">
        <v>215</v>
      </c>
      <c r="I4" s="36" t="s">
        <v>216</v>
      </c>
      <c r="J4" s="37" t="s">
        <v>217</v>
      </c>
      <c r="K4" s="16" t="s">
        <v>218</v>
      </c>
      <c r="L4" s="38"/>
    </row>
    <row r="5" s="4" customFormat="true" ht="27.75" customHeight="true" spans="1:12">
      <c r="A5" s="17"/>
      <c r="B5" s="18" t="s">
        <v>12</v>
      </c>
      <c r="C5" s="19">
        <f>C6+C11+C15+C18+C21+C24+C27+C54+C55+C56+C57+C58</f>
        <v>28332.02</v>
      </c>
      <c r="D5" s="19">
        <f>D6+D11+D15+D18+D21+D24+D27+D54+D55+D56+D57+D58</f>
        <v>906.02</v>
      </c>
      <c r="E5" s="19">
        <f>E6+E11+E15+E18+E21+E24+E27+E54+E55+E56+E57+E58</f>
        <v>16334.14</v>
      </c>
      <c r="F5" s="19">
        <f t="shared" ref="F5:F20" si="0">SUM(C5:E5)</f>
        <v>45572.18</v>
      </c>
      <c r="G5" s="30" t="s">
        <v>260</v>
      </c>
      <c r="H5" s="31" t="s">
        <v>261</v>
      </c>
      <c r="I5" s="39">
        <f>I6</f>
        <v>67510</v>
      </c>
      <c r="J5" s="40">
        <f>F5/I5*10000</f>
        <v>6750.43</v>
      </c>
      <c r="K5" s="41">
        <f>F5/$F$5</f>
        <v>1</v>
      </c>
      <c r="L5" s="42"/>
    </row>
    <row r="6" s="3" customFormat="true" ht="21.95" customHeight="true" spans="1:12">
      <c r="A6" s="20">
        <v>1</v>
      </c>
      <c r="B6" s="21" t="s">
        <v>14</v>
      </c>
      <c r="C6" s="22">
        <f>SUM(C7:C10)</f>
        <v>19783.07</v>
      </c>
      <c r="D6" s="22"/>
      <c r="E6" s="22"/>
      <c r="F6" s="22">
        <f t="shared" si="0"/>
        <v>19783.07</v>
      </c>
      <c r="G6" s="32" t="s">
        <v>260</v>
      </c>
      <c r="H6" s="33" t="s">
        <v>261</v>
      </c>
      <c r="I6" s="43">
        <f>I8+I10</f>
        <v>67510</v>
      </c>
      <c r="J6" s="44">
        <f>F6/I6*10000</f>
        <v>2930.39</v>
      </c>
      <c r="K6" s="45">
        <f>F6/$F$5</f>
        <v>0.4341</v>
      </c>
      <c r="L6" s="26"/>
    </row>
    <row r="7" s="5" customFormat="true" ht="21.95" customHeight="true" spans="1:14">
      <c r="A7" s="20" t="s">
        <v>102</v>
      </c>
      <c r="B7" s="21" t="s">
        <v>103</v>
      </c>
      <c r="C7" s="22">
        <v>1805</v>
      </c>
      <c r="D7" s="22"/>
      <c r="E7" s="22"/>
      <c r="F7" s="22">
        <f t="shared" si="0"/>
        <v>1805</v>
      </c>
      <c r="G7" s="32" t="s">
        <v>262</v>
      </c>
      <c r="H7" s="33" t="s">
        <v>261</v>
      </c>
      <c r="I7" s="43">
        <v>16660</v>
      </c>
      <c r="J7" s="44">
        <f>F7/I7*10000</f>
        <v>1083.43</v>
      </c>
      <c r="K7" s="45">
        <f t="shared" ref="K7:K58" si="1">F7/$F$5</f>
        <v>0.0396</v>
      </c>
      <c r="L7" s="26"/>
      <c r="N7" s="22"/>
    </row>
    <row r="8" s="5" customFormat="true" ht="21.95" customHeight="true" spans="1:14">
      <c r="A8" s="20" t="s">
        <v>105</v>
      </c>
      <c r="B8" s="21" t="s">
        <v>106</v>
      </c>
      <c r="C8" s="22">
        <f>N8/10000</f>
        <v>6682.22</v>
      </c>
      <c r="D8" s="22"/>
      <c r="E8" s="22"/>
      <c r="F8" s="22">
        <f t="shared" si="0"/>
        <v>6682.22</v>
      </c>
      <c r="G8" s="32" t="s">
        <v>262</v>
      </c>
      <c r="H8" s="33" t="s">
        <v>261</v>
      </c>
      <c r="I8" s="43">
        <f>I7</f>
        <v>16660</v>
      </c>
      <c r="J8" s="44">
        <f>F8/I8*10000</f>
        <v>4010.94</v>
      </c>
      <c r="K8" s="45">
        <f t="shared" si="1"/>
        <v>0.1466</v>
      </c>
      <c r="L8" s="26"/>
      <c r="N8" s="22">
        <f>[1]Sheet3!E4</f>
        <v>66822247.31</v>
      </c>
    </row>
    <row r="9" s="5" customFormat="true" ht="21.95" customHeight="true" spans="1:14">
      <c r="A9" s="20" t="s">
        <v>107</v>
      </c>
      <c r="B9" s="21" t="s">
        <v>108</v>
      </c>
      <c r="C9" s="22">
        <f>N9/10000</f>
        <v>1919.81</v>
      </c>
      <c r="D9" s="22"/>
      <c r="E9" s="22"/>
      <c r="F9" s="22">
        <f t="shared" si="0"/>
        <v>1919.81</v>
      </c>
      <c r="G9" s="32" t="s">
        <v>262</v>
      </c>
      <c r="H9" s="33" t="s">
        <v>261</v>
      </c>
      <c r="I9" s="43">
        <f>I6</f>
        <v>67510</v>
      </c>
      <c r="J9" s="44">
        <f t="shared" ref="J9:J54" si="2">F9/I9*10000</f>
        <v>284.37</v>
      </c>
      <c r="K9" s="45">
        <f t="shared" si="1"/>
        <v>0.0421</v>
      </c>
      <c r="L9" s="26"/>
      <c r="N9" s="22">
        <f>[1]Sheet3!E5</f>
        <v>19198057.73</v>
      </c>
    </row>
    <row r="10" s="5" customFormat="true" ht="21.95" customHeight="true" spans="1:14">
      <c r="A10" s="20" t="s">
        <v>109</v>
      </c>
      <c r="B10" s="23" t="s">
        <v>110</v>
      </c>
      <c r="C10" s="22">
        <f>N10/10000</f>
        <v>9376.04</v>
      </c>
      <c r="D10" s="22"/>
      <c r="E10" s="25"/>
      <c r="F10" s="22">
        <f t="shared" si="0"/>
        <v>9376.04</v>
      </c>
      <c r="G10" s="32" t="s">
        <v>263</v>
      </c>
      <c r="H10" s="33" t="s">
        <v>261</v>
      </c>
      <c r="I10" s="43">
        <v>50850</v>
      </c>
      <c r="J10" s="44">
        <f t="shared" si="2"/>
        <v>1843.86</v>
      </c>
      <c r="K10" s="45">
        <f t="shared" si="1"/>
        <v>0.2057</v>
      </c>
      <c r="L10" s="26"/>
      <c r="N10" s="22">
        <f>[1]Sheet3!E6</f>
        <v>93760434.16</v>
      </c>
    </row>
    <row r="11" s="5" customFormat="true" ht="21.95" customHeight="true" spans="1:12">
      <c r="A11" s="24">
        <v>2</v>
      </c>
      <c r="B11" s="23" t="s">
        <v>15</v>
      </c>
      <c r="C11" s="22">
        <f>SUM(C12:C14)</f>
        <v>8481.44</v>
      </c>
      <c r="D11" s="22"/>
      <c r="E11" s="22"/>
      <c r="F11" s="22">
        <f t="shared" si="0"/>
        <v>8481.44</v>
      </c>
      <c r="G11" s="32" t="s">
        <v>260</v>
      </c>
      <c r="H11" s="33" t="s">
        <v>261</v>
      </c>
      <c r="I11" s="43">
        <f>I6</f>
        <v>67510</v>
      </c>
      <c r="J11" s="44">
        <f t="shared" si="2"/>
        <v>1256.32</v>
      </c>
      <c r="K11" s="45">
        <f t="shared" si="1"/>
        <v>0.1861</v>
      </c>
      <c r="L11" s="26"/>
    </row>
    <row r="12" s="5" customFormat="true" ht="21.95" customHeight="true" spans="1:14">
      <c r="A12" s="24">
        <v>2.1</v>
      </c>
      <c r="B12" s="23" t="s">
        <v>112</v>
      </c>
      <c r="C12" s="22">
        <f>N12/10000</f>
        <v>986.17</v>
      </c>
      <c r="D12" s="22"/>
      <c r="E12" s="25"/>
      <c r="F12" s="22">
        <f t="shared" si="0"/>
        <v>986.17</v>
      </c>
      <c r="G12" s="32" t="s">
        <v>262</v>
      </c>
      <c r="H12" s="33" t="s">
        <v>261</v>
      </c>
      <c r="I12" s="43">
        <f>I7</f>
        <v>16660</v>
      </c>
      <c r="J12" s="44">
        <f t="shared" si="2"/>
        <v>591.94</v>
      </c>
      <c r="K12" s="45">
        <f t="shared" si="1"/>
        <v>0.0216</v>
      </c>
      <c r="L12" s="26"/>
      <c r="N12" s="48">
        <f>[1]Sheet3!E7</f>
        <v>9861694.75</v>
      </c>
    </row>
    <row r="13" s="5" customFormat="true" ht="21.95" customHeight="true" spans="1:14">
      <c r="A13" s="24">
        <v>2.2</v>
      </c>
      <c r="B13" s="23" t="s">
        <v>113</v>
      </c>
      <c r="C13" s="22">
        <f>N13/10000</f>
        <v>5578.79</v>
      </c>
      <c r="D13" s="22"/>
      <c r="E13" s="25"/>
      <c r="F13" s="22">
        <f t="shared" si="0"/>
        <v>5578.79</v>
      </c>
      <c r="G13" s="32" t="s">
        <v>263</v>
      </c>
      <c r="H13" s="33" t="s">
        <v>261</v>
      </c>
      <c r="I13" s="43">
        <f>I10</f>
        <v>50850</v>
      </c>
      <c r="J13" s="44">
        <f t="shared" si="2"/>
        <v>1097.11</v>
      </c>
      <c r="K13" s="45">
        <f t="shared" si="1"/>
        <v>0.1224</v>
      </c>
      <c r="L13" s="26"/>
      <c r="N13" s="48">
        <f>[1]Sheet3!E8</f>
        <v>55787910.84</v>
      </c>
    </row>
    <row r="14" s="5" customFormat="true" ht="21.95" customHeight="true" spans="1:14">
      <c r="A14" s="24" t="s">
        <v>114</v>
      </c>
      <c r="B14" s="23" t="s">
        <v>115</v>
      </c>
      <c r="C14" s="22">
        <f>N14/10000</f>
        <v>1916.48</v>
      </c>
      <c r="D14" s="22"/>
      <c r="E14" s="25"/>
      <c r="F14" s="22">
        <f t="shared" si="0"/>
        <v>1916.48</v>
      </c>
      <c r="G14" s="32" t="s">
        <v>263</v>
      </c>
      <c r="H14" s="33" t="s">
        <v>261</v>
      </c>
      <c r="I14" s="43">
        <f>I10</f>
        <v>50850</v>
      </c>
      <c r="J14" s="44">
        <f t="shared" si="2"/>
        <v>376.89</v>
      </c>
      <c r="K14" s="45">
        <f t="shared" si="1"/>
        <v>0.0421</v>
      </c>
      <c r="L14" s="26"/>
      <c r="N14" s="48">
        <f>[1]Sheet3!E9</f>
        <v>19164766.84</v>
      </c>
    </row>
    <row r="15" s="5" customFormat="true" ht="21.95" customHeight="true" spans="1:12">
      <c r="A15" s="24" t="s">
        <v>16</v>
      </c>
      <c r="B15" s="23" t="s">
        <v>17</v>
      </c>
      <c r="C15" s="22"/>
      <c r="D15" s="22"/>
      <c r="E15" s="25">
        <f>E16+E17</f>
        <v>2592.52</v>
      </c>
      <c r="F15" s="22">
        <f t="shared" si="0"/>
        <v>2592.52</v>
      </c>
      <c r="G15" s="32" t="s">
        <v>260</v>
      </c>
      <c r="H15" s="33" t="s">
        <v>261</v>
      </c>
      <c r="I15" s="43">
        <f>I6</f>
        <v>67510</v>
      </c>
      <c r="J15" s="44">
        <f t="shared" si="2"/>
        <v>384.02</v>
      </c>
      <c r="K15" s="45">
        <f t="shared" si="1"/>
        <v>0.0569</v>
      </c>
      <c r="L15" s="26"/>
    </row>
    <row r="16" s="5" customFormat="true" ht="21.95" customHeight="true" spans="1:14">
      <c r="A16" s="24" t="s">
        <v>116</v>
      </c>
      <c r="B16" s="23" t="s">
        <v>117</v>
      </c>
      <c r="C16" s="25"/>
      <c r="D16" s="25"/>
      <c r="E16" s="25">
        <f>N16/10000</f>
        <v>1541.34</v>
      </c>
      <c r="F16" s="22">
        <f t="shared" si="0"/>
        <v>1541.34</v>
      </c>
      <c r="G16" s="32" t="s">
        <v>260</v>
      </c>
      <c r="H16" s="33" t="s">
        <v>261</v>
      </c>
      <c r="I16" s="43">
        <f>I6</f>
        <v>67510</v>
      </c>
      <c r="J16" s="44">
        <f t="shared" si="2"/>
        <v>228.31</v>
      </c>
      <c r="K16" s="45">
        <f t="shared" si="1"/>
        <v>0.0338</v>
      </c>
      <c r="L16" s="26"/>
      <c r="N16" s="48">
        <f>[1]Sheet3!E10</f>
        <v>15413429.72</v>
      </c>
    </row>
    <row r="17" s="5" customFormat="true" ht="21.95" customHeight="true" spans="1:14">
      <c r="A17" s="24" t="s">
        <v>118</v>
      </c>
      <c r="B17" s="23" t="s">
        <v>119</v>
      </c>
      <c r="C17" s="25"/>
      <c r="D17" s="25"/>
      <c r="E17" s="25">
        <f>N17/10000</f>
        <v>1051.18</v>
      </c>
      <c r="F17" s="22">
        <f t="shared" si="0"/>
        <v>1051.18</v>
      </c>
      <c r="G17" s="32" t="s">
        <v>260</v>
      </c>
      <c r="H17" s="33" t="s">
        <v>261</v>
      </c>
      <c r="I17" s="43">
        <f>I6</f>
        <v>67510</v>
      </c>
      <c r="J17" s="44">
        <f t="shared" si="2"/>
        <v>155.71</v>
      </c>
      <c r="K17" s="45">
        <f t="shared" si="1"/>
        <v>0.0231</v>
      </c>
      <c r="L17" s="26"/>
      <c r="N17" s="48">
        <f>[1]Sheet3!E11</f>
        <v>10511803.76</v>
      </c>
    </row>
    <row r="18" s="5" customFormat="true" ht="21.95" customHeight="true" spans="1:12">
      <c r="A18" s="24" t="s">
        <v>18</v>
      </c>
      <c r="B18" s="23" t="s">
        <v>19</v>
      </c>
      <c r="C18" s="25"/>
      <c r="D18" s="25"/>
      <c r="E18" s="25">
        <f>E19+E20</f>
        <v>3822.79</v>
      </c>
      <c r="F18" s="22">
        <f t="shared" si="0"/>
        <v>3822.79</v>
      </c>
      <c r="G18" s="32" t="s">
        <v>260</v>
      </c>
      <c r="H18" s="33" t="s">
        <v>261</v>
      </c>
      <c r="I18" s="43">
        <f>I6</f>
        <v>67510</v>
      </c>
      <c r="J18" s="44">
        <f t="shared" si="2"/>
        <v>566.26</v>
      </c>
      <c r="K18" s="45">
        <f t="shared" si="1"/>
        <v>0.0839</v>
      </c>
      <c r="L18" s="26"/>
    </row>
    <row r="19" s="5" customFormat="true" ht="21.95" customHeight="true" spans="1:14">
      <c r="A19" s="24" t="s">
        <v>120</v>
      </c>
      <c r="B19" s="23" t="s">
        <v>121</v>
      </c>
      <c r="C19" s="25"/>
      <c r="D19" s="25"/>
      <c r="E19" s="25">
        <f>N19/10000</f>
        <v>66.15</v>
      </c>
      <c r="F19" s="22">
        <f t="shared" si="0"/>
        <v>66.15</v>
      </c>
      <c r="G19" s="32" t="s">
        <v>260</v>
      </c>
      <c r="H19" s="33" t="s">
        <v>261</v>
      </c>
      <c r="I19" s="43">
        <f>I6</f>
        <v>67510</v>
      </c>
      <c r="J19" s="44">
        <f t="shared" si="2"/>
        <v>9.8</v>
      </c>
      <c r="K19" s="45">
        <f t="shared" si="1"/>
        <v>0.0015</v>
      </c>
      <c r="L19" s="26"/>
      <c r="N19" s="48">
        <f>[1]Sheet3!E12</f>
        <v>661530.25</v>
      </c>
    </row>
    <row r="20" s="5" customFormat="true" ht="21.95" customHeight="true" spans="1:14">
      <c r="A20" s="24" t="s">
        <v>122</v>
      </c>
      <c r="B20" s="23" t="s">
        <v>123</v>
      </c>
      <c r="C20" s="25"/>
      <c r="D20" s="25"/>
      <c r="E20" s="25">
        <f>N20/10000</f>
        <v>3756.64</v>
      </c>
      <c r="F20" s="22">
        <f t="shared" si="0"/>
        <v>3756.64</v>
      </c>
      <c r="G20" s="32" t="s">
        <v>260</v>
      </c>
      <c r="H20" s="33" t="s">
        <v>261</v>
      </c>
      <c r="I20" s="43">
        <f>I6</f>
        <v>67510</v>
      </c>
      <c r="J20" s="44">
        <f t="shared" si="2"/>
        <v>556.46</v>
      </c>
      <c r="K20" s="45">
        <f t="shared" si="1"/>
        <v>0.0824</v>
      </c>
      <c r="L20" s="26"/>
      <c r="N20" s="48">
        <f>[1]Sheet3!E13</f>
        <v>37566405.84</v>
      </c>
    </row>
    <row r="21" s="5" customFormat="true" ht="21.95" customHeight="true" spans="1:12">
      <c r="A21" s="24" t="s">
        <v>20</v>
      </c>
      <c r="B21" s="23" t="s">
        <v>21</v>
      </c>
      <c r="C21" s="25"/>
      <c r="D21" s="25"/>
      <c r="E21" s="25">
        <f>E22+E23</f>
        <v>546.93</v>
      </c>
      <c r="F21" s="22">
        <f t="shared" ref="F21:F37" si="3">SUM(C21:E21)</f>
        <v>546.93</v>
      </c>
      <c r="G21" s="32" t="s">
        <v>260</v>
      </c>
      <c r="H21" s="33" t="s">
        <v>261</v>
      </c>
      <c r="I21" s="43">
        <f>I6</f>
        <v>67510</v>
      </c>
      <c r="J21" s="44">
        <f t="shared" si="2"/>
        <v>81.01</v>
      </c>
      <c r="K21" s="45">
        <f t="shared" si="1"/>
        <v>0.012</v>
      </c>
      <c r="L21" s="26"/>
    </row>
    <row r="22" s="5" customFormat="true" ht="21.95" customHeight="true" spans="1:14">
      <c r="A22" s="24" t="s">
        <v>124</v>
      </c>
      <c r="B22" s="23" t="s">
        <v>125</v>
      </c>
      <c r="C22" s="25"/>
      <c r="D22" s="25"/>
      <c r="E22" s="25">
        <f>N22/10000</f>
        <v>43.64</v>
      </c>
      <c r="F22" s="22">
        <f t="shared" si="3"/>
        <v>43.64</v>
      </c>
      <c r="G22" s="32" t="s">
        <v>260</v>
      </c>
      <c r="H22" s="33" t="s">
        <v>261</v>
      </c>
      <c r="I22" s="43">
        <f>I6</f>
        <v>67510</v>
      </c>
      <c r="J22" s="44">
        <f t="shared" si="2"/>
        <v>6.46</v>
      </c>
      <c r="K22" s="45">
        <f t="shared" si="1"/>
        <v>0.001</v>
      </c>
      <c r="L22" s="26"/>
      <c r="N22" s="48">
        <f>[1]Sheet3!E14</f>
        <v>436420.61</v>
      </c>
    </row>
    <row r="23" s="5" customFormat="true" ht="21.95" customHeight="true" spans="1:14">
      <c r="A23" s="24" t="s">
        <v>126</v>
      </c>
      <c r="B23" s="23" t="s">
        <v>127</v>
      </c>
      <c r="C23" s="25"/>
      <c r="D23" s="25"/>
      <c r="E23" s="25">
        <f>N23/10000</f>
        <v>503.29</v>
      </c>
      <c r="F23" s="22">
        <f t="shared" si="3"/>
        <v>503.29</v>
      </c>
      <c r="G23" s="32" t="s">
        <v>260</v>
      </c>
      <c r="H23" s="33" t="s">
        <v>261</v>
      </c>
      <c r="I23" s="43">
        <f>I6</f>
        <v>67510</v>
      </c>
      <c r="J23" s="44">
        <f t="shared" si="2"/>
        <v>74.55</v>
      </c>
      <c r="K23" s="45">
        <f t="shared" si="1"/>
        <v>0.011</v>
      </c>
      <c r="L23" s="26"/>
      <c r="N23" s="48">
        <f>[1]Sheet3!E15</f>
        <v>5032858.87</v>
      </c>
    </row>
    <row r="24" s="5" customFormat="true" ht="21.95" customHeight="true" spans="1:12">
      <c r="A24" s="24" t="s">
        <v>22</v>
      </c>
      <c r="B24" s="23" t="s">
        <v>23</v>
      </c>
      <c r="C24" s="25"/>
      <c r="D24" s="25"/>
      <c r="E24" s="25">
        <f>E25+E26</f>
        <v>5129.5</v>
      </c>
      <c r="F24" s="22">
        <f t="shared" si="3"/>
        <v>5129.5</v>
      </c>
      <c r="G24" s="32" t="s">
        <v>260</v>
      </c>
      <c r="H24" s="33" t="s">
        <v>261</v>
      </c>
      <c r="I24" s="43">
        <f>I6</f>
        <v>67510</v>
      </c>
      <c r="J24" s="44">
        <f t="shared" si="2"/>
        <v>759.81</v>
      </c>
      <c r="K24" s="45">
        <f t="shared" si="1"/>
        <v>0.1126</v>
      </c>
      <c r="L24" s="26"/>
    </row>
    <row r="25" s="5" customFormat="true" ht="21.95" customHeight="true" spans="1:15">
      <c r="A25" s="24" t="s">
        <v>128</v>
      </c>
      <c r="B25" s="23" t="s">
        <v>129</v>
      </c>
      <c r="C25" s="25"/>
      <c r="D25" s="25"/>
      <c r="E25" s="25">
        <f>(N25+O25)/10000</f>
        <v>1256.36</v>
      </c>
      <c r="F25" s="22">
        <f t="shared" si="3"/>
        <v>1256.36</v>
      </c>
      <c r="G25" s="32" t="s">
        <v>260</v>
      </c>
      <c r="H25" s="33" t="s">
        <v>261</v>
      </c>
      <c r="I25" s="43">
        <f>I6</f>
        <v>67510</v>
      </c>
      <c r="J25" s="44">
        <f t="shared" si="2"/>
        <v>186.1</v>
      </c>
      <c r="K25" s="45">
        <f t="shared" si="1"/>
        <v>0.0276</v>
      </c>
      <c r="L25" s="26"/>
      <c r="N25" s="48">
        <f>[1]Sheet3!E16+[1]Sheet3!E17</f>
        <v>12563616.25</v>
      </c>
      <c r="O25" s="48"/>
    </row>
    <row r="26" s="5" customFormat="true" ht="21.95" customHeight="true" spans="1:15">
      <c r="A26" s="24" t="s">
        <v>130</v>
      </c>
      <c r="B26" s="23" t="s">
        <v>131</v>
      </c>
      <c r="C26" s="25"/>
      <c r="D26" s="25"/>
      <c r="E26" s="25">
        <f>N26/10000</f>
        <v>3873.14</v>
      </c>
      <c r="F26" s="22">
        <f t="shared" si="3"/>
        <v>3873.14</v>
      </c>
      <c r="G26" s="32" t="s">
        <v>260</v>
      </c>
      <c r="H26" s="33" t="s">
        <v>261</v>
      </c>
      <c r="I26" s="43">
        <f>I6</f>
        <v>67510</v>
      </c>
      <c r="J26" s="44">
        <f t="shared" si="2"/>
        <v>573.71</v>
      </c>
      <c r="K26" s="45">
        <f t="shared" si="1"/>
        <v>0.085</v>
      </c>
      <c r="L26" s="26"/>
      <c r="N26" s="48">
        <f>[1]Sheet3!E18</f>
        <v>38731441.76</v>
      </c>
      <c r="O26" s="48"/>
    </row>
    <row r="27" s="5" customFormat="true" ht="21.95" customHeight="true" spans="1:15">
      <c r="A27" s="24" t="s">
        <v>24</v>
      </c>
      <c r="B27" s="23" t="s">
        <v>25</v>
      </c>
      <c r="C27" s="25"/>
      <c r="D27" s="25"/>
      <c r="E27" s="25">
        <f>SUM(E28:E53)</f>
        <v>3365.71</v>
      </c>
      <c r="F27" s="22">
        <f t="shared" si="3"/>
        <v>3365.71</v>
      </c>
      <c r="G27" s="32" t="s">
        <v>260</v>
      </c>
      <c r="H27" s="33" t="s">
        <v>261</v>
      </c>
      <c r="I27" s="43">
        <f>I6</f>
        <v>67510</v>
      </c>
      <c r="J27" s="44">
        <f t="shared" si="2"/>
        <v>498.55</v>
      </c>
      <c r="K27" s="45">
        <f t="shared" si="1"/>
        <v>0.0739</v>
      </c>
      <c r="L27" s="26"/>
      <c r="N27" s="48"/>
      <c r="O27" s="48"/>
    </row>
    <row r="28" s="5" customFormat="true" ht="21.95" customHeight="true" spans="1:14">
      <c r="A28" s="24" t="s">
        <v>132</v>
      </c>
      <c r="B28" s="23" t="s">
        <v>133</v>
      </c>
      <c r="C28" s="25"/>
      <c r="D28" s="25"/>
      <c r="E28" s="25">
        <f>N28/10000</f>
        <v>590.32</v>
      </c>
      <c r="F28" s="22">
        <f t="shared" si="3"/>
        <v>590.32</v>
      </c>
      <c r="G28" s="32" t="s">
        <v>260</v>
      </c>
      <c r="H28" s="33" t="s">
        <v>261</v>
      </c>
      <c r="I28" s="43">
        <f>I6</f>
        <v>67510</v>
      </c>
      <c r="J28" s="44">
        <f t="shared" si="2"/>
        <v>87.44</v>
      </c>
      <c r="K28" s="45">
        <f t="shared" si="1"/>
        <v>0.013</v>
      </c>
      <c r="L28" s="26"/>
      <c r="N28" s="25">
        <f>[1]Sheet3!E19</f>
        <v>5903153.53</v>
      </c>
    </row>
    <row r="29" s="5" customFormat="true" ht="21.95" customHeight="true" spans="1:14">
      <c r="A29" s="24" t="s">
        <v>134</v>
      </c>
      <c r="B29" s="23" t="s">
        <v>135</v>
      </c>
      <c r="C29" s="25"/>
      <c r="D29" s="25"/>
      <c r="E29" s="25">
        <f t="shared" ref="E29:E53" si="4">N29/10000</f>
        <v>56.8</v>
      </c>
      <c r="F29" s="22">
        <f t="shared" si="3"/>
        <v>56.8</v>
      </c>
      <c r="G29" s="32" t="s">
        <v>260</v>
      </c>
      <c r="H29" s="33" t="s">
        <v>261</v>
      </c>
      <c r="I29" s="43">
        <f>I6</f>
        <v>67510</v>
      </c>
      <c r="J29" s="44">
        <f t="shared" si="2"/>
        <v>8.41</v>
      </c>
      <c r="K29" s="45">
        <f t="shared" si="1"/>
        <v>0.0012</v>
      </c>
      <c r="L29" s="26"/>
      <c r="N29" s="25">
        <f>[1]Sheet3!E20</f>
        <v>568023.47</v>
      </c>
    </row>
    <row r="30" s="5" customFormat="true" ht="21.95" customHeight="true" spans="1:14">
      <c r="A30" s="24" t="s">
        <v>136</v>
      </c>
      <c r="B30" s="23" t="s">
        <v>137</v>
      </c>
      <c r="C30" s="25"/>
      <c r="D30" s="25"/>
      <c r="E30" s="25">
        <f t="shared" si="4"/>
        <v>37.71</v>
      </c>
      <c r="F30" s="22">
        <f t="shared" si="3"/>
        <v>37.71</v>
      </c>
      <c r="G30" s="32" t="s">
        <v>260</v>
      </c>
      <c r="H30" s="33" t="s">
        <v>261</v>
      </c>
      <c r="I30" s="43">
        <f>I6</f>
        <v>67510</v>
      </c>
      <c r="J30" s="44">
        <f t="shared" si="2"/>
        <v>5.59</v>
      </c>
      <c r="K30" s="45">
        <f t="shared" si="1"/>
        <v>0.0008</v>
      </c>
      <c r="L30" s="26"/>
      <c r="N30" s="25">
        <f>[1]Sheet3!E21</f>
        <v>377059.63</v>
      </c>
    </row>
    <row r="31" s="5" customFormat="true" ht="21.95" customHeight="true" spans="1:14">
      <c r="A31" s="24" t="s">
        <v>138</v>
      </c>
      <c r="B31" s="26" t="s">
        <v>139</v>
      </c>
      <c r="C31" s="25"/>
      <c r="D31" s="25"/>
      <c r="E31" s="25">
        <f t="shared" si="4"/>
        <v>142.94</v>
      </c>
      <c r="F31" s="22">
        <f t="shared" si="3"/>
        <v>142.94</v>
      </c>
      <c r="G31" s="32" t="s">
        <v>260</v>
      </c>
      <c r="H31" s="33" t="s">
        <v>261</v>
      </c>
      <c r="I31" s="43">
        <f>I6</f>
        <v>67510</v>
      </c>
      <c r="J31" s="44">
        <f t="shared" si="2"/>
        <v>21.17</v>
      </c>
      <c r="K31" s="45">
        <f t="shared" si="1"/>
        <v>0.0031</v>
      </c>
      <c r="L31" s="26"/>
      <c r="N31" s="25">
        <f>[1]Sheet3!E22</f>
        <v>1429448.44</v>
      </c>
    </row>
    <row r="32" s="6" customFormat="true" ht="21.95" customHeight="true" spans="1:14">
      <c r="A32" s="24" t="s">
        <v>140</v>
      </c>
      <c r="B32" s="23" t="s">
        <v>141</v>
      </c>
      <c r="C32" s="25"/>
      <c r="D32" s="25"/>
      <c r="E32" s="25">
        <f t="shared" si="4"/>
        <v>639.17</v>
      </c>
      <c r="F32" s="22">
        <f t="shared" si="3"/>
        <v>639.17</v>
      </c>
      <c r="G32" s="32" t="s">
        <v>260</v>
      </c>
      <c r="H32" s="33" t="s">
        <v>261</v>
      </c>
      <c r="I32" s="43">
        <f>I6</f>
        <v>67510</v>
      </c>
      <c r="J32" s="44">
        <f t="shared" si="2"/>
        <v>94.68</v>
      </c>
      <c r="K32" s="45">
        <f t="shared" si="1"/>
        <v>0.014</v>
      </c>
      <c r="L32" s="26"/>
      <c r="N32" s="25">
        <f>[1]Sheet3!E23</f>
        <v>6391664.98</v>
      </c>
    </row>
    <row r="33" s="5" customFormat="true" ht="21.95" customHeight="true" spans="1:14">
      <c r="A33" s="24" t="s">
        <v>142</v>
      </c>
      <c r="B33" s="27" t="s">
        <v>143</v>
      </c>
      <c r="C33" s="25"/>
      <c r="D33" s="25"/>
      <c r="E33" s="25">
        <f t="shared" si="4"/>
        <v>9.9</v>
      </c>
      <c r="F33" s="22">
        <f t="shared" si="3"/>
        <v>9.9</v>
      </c>
      <c r="G33" s="32" t="s">
        <v>260</v>
      </c>
      <c r="H33" s="33" t="s">
        <v>261</v>
      </c>
      <c r="I33" s="43">
        <f>I6</f>
        <v>67510</v>
      </c>
      <c r="J33" s="44">
        <f t="shared" si="2"/>
        <v>1.47</v>
      </c>
      <c r="K33" s="45">
        <f t="shared" si="1"/>
        <v>0.0002</v>
      </c>
      <c r="L33" s="26"/>
      <c r="N33" s="25">
        <f>[1]Sheet3!E24</f>
        <v>99027.12</v>
      </c>
    </row>
    <row r="34" s="5" customFormat="true" ht="21.95" customHeight="true" spans="1:14">
      <c r="A34" s="24" t="s">
        <v>144</v>
      </c>
      <c r="B34" s="26" t="s">
        <v>145</v>
      </c>
      <c r="C34" s="28"/>
      <c r="D34" s="25"/>
      <c r="E34" s="25">
        <f t="shared" si="4"/>
        <v>315.96</v>
      </c>
      <c r="F34" s="22">
        <f t="shared" si="3"/>
        <v>315.96</v>
      </c>
      <c r="G34" s="32" t="s">
        <v>260</v>
      </c>
      <c r="H34" s="33" t="s">
        <v>261</v>
      </c>
      <c r="I34" s="46">
        <f>I6</f>
        <v>67510</v>
      </c>
      <c r="J34" s="44">
        <f t="shared" si="2"/>
        <v>46.8</v>
      </c>
      <c r="K34" s="45">
        <f t="shared" si="1"/>
        <v>0.0069</v>
      </c>
      <c r="L34" s="47"/>
      <c r="N34" s="25">
        <f>[1]Sheet3!E25</f>
        <v>3159633.05</v>
      </c>
    </row>
    <row r="35" s="5" customFormat="true" ht="21.95" customHeight="true" spans="1:14">
      <c r="A35" s="24" t="s">
        <v>146</v>
      </c>
      <c r="B35" s="26" t="s">
        <v>147</v>
      </c>
      <c r="C35" s="25"/>
      <c r="D35" s="25"/>
      <c r="E35" s="25">
        <f t="shared" si="4"/>
        <v>326</v>
      </c>
      <c r="F35" s="22">
        <f t="shared" si="3"/>
        <v>326</v>
      </c>
      <c r="G35" s="32" t="s">
        <v>260</v>
      </c>
      <c r="H35" s="33" t="s">
        <v>261</v>
      </c>
      <c r="I35" s="43">
        <f>I6</f>
        <v>67510</v>
      </c>
      <c r="J35" s="44">
        <f t="shared" si="2"/>
        <v>48.29</v>
      </c>
      <c r="K35" s="45">
        <f t="shared" si="1"/>
        <v>0.0072</v>
      </c>
      <c r="L35" s="26"/>
      <c r="N35" s="25">
        <f>[1]Sheet3!E26</f>
        <v>3259986.82</v>
      </c>
    </row>
    <row r="36" s="5" customFormat="true" ht="21.95" customHeight="true" spans="1:14">
      <c r="A36" s="24" t="s">
        <v>148</v>
      </c>
      <c r="B36" s="23" t="s">
        <v>149</v>
      </c>
      <c r="C36" s="25"/>
      <c r="D36" s="25"/>
      <c r="E36" s="25">
        <f t="shared" si="4"/>
        <v>149.71</v>
      </c>
      <c r="F36" s="22">
        <f t="shared" si="3"/>
        <v>149.71</v>
      </c>
      <c r="G36" s="32" t="s">
        <v>260</v>
      </c>
      <c r="H36" s="33" t="s">
        <v>261</v>
      </c>
      <c r="I36" s="43">
        <f>I6</f>
        <v>67510</v>
      </c>
      <c r="J36" s="44">
        <f t="shared" si="2"/>
        <v>22.18</v>
      </c>
      <c r="K36" s="45">
        <f t="shared" si="1"/>
        <v>0.0033</v>
      </c>
      <c r="L36" s="26"/>
      <c r="N36" s="25">
        <f>[1]Sheet3!E27</f>
        <v>1497074.55</v>
      </c>
    </row>
    <row r="37" s="5" customFormat="true" ht="21.95" customHeight="true" spans="1:14">
      <c r="A37" s="24" t="s">
        <v>150</v>
      </c>
      <c r="B37" s="23" t="s">
        <v>151</v>
      </c>
      <c r="C37" s="25"/>
      <c r="D37" s="25"/>
      <c r="E37" s="25">
        <f t="shared" si="4"/>
        <v>85.89</v>
      </c>
      <c r="F37" s="22">
        <f t="shared" si="3"/>
        <v>85.89</v>
      </c>
      <c r="G37" s="32" t="s">
        <v>260</v>
      </c>
      <c r="H37" s="33" t="s">
        <v>261</v>
      </c>
      <c r="I37" s="43">
        <f>I6</f>
        <v>67510</v>
      </c>
      <c r="J37" s="44">
        <f t="shared" si="2"/>
        <v>12.72</v>
      </c>
      <c r="K37" s="45">
        <f t="shared" si="1"/>
        <v>0.0019</v>
      </c>
      <c r="L37" s="26"/>
      <c r="N37" s="25">
        <f>[1]Sheet3!E28</f>
        <v>858908.39</v>
      </c>
    </row>
    <row r="38" s="5" customFormat="true" ht="21.95" customHeight="true" spans="1:14">
      <c r="A38" s="24" t="s">
        <v>152</v>
      </c>
      <c r="B38" s="23" t="s">
        <v>153</v>
      </c>
      <c r="C38" s="25"/>
      <c r="D38" s="25"/>
      <c r="E38" s="25">
        <f t="shared" si="4"/>
        <v>205.23</v>
      </c>
      <c r="F38" s="22">
        <f t="shared" ref="F38:F58" si="5">SUM(C38:E38)</f>
        <v>205.23</v>
      </c>
      <c r="G38" s="32" t="s">
        <v>260</v>
      </c>
      <c r="H38" s="33" t="s">
        <v>261</v>
      </c>
      <c r="I38" s="43">
        <f>I6</f>
        <v>67510</v>
      </c>
      <c r="J38" s="44">
        <f t="shared" si="2"/>
        <v>30.4</v>
      </c>
      <c r="K38" s="45">
        <f t="shared" si="1"/>
        <v>0.0045</v>
      </c>
      <c r="L38" s="26"/>
      <c r="N38" s="25">
        <f>[1]Sheet3!E29</f>
        <v>2052302.5</v>
      </c>
    </row>
    <row r="39" s="5" customFormat="true" ht="21.95" customHeight="true" spans="1:14">
      <c r="A39" s="24" t="s">
        <v>154</v>
      </c>
      <c r="B39" s="26" t="s">
        <v>155</v>
      </c>
      <c r="C39" s="25"/>
      <c r="D39" s="25"/>
      <c r="E39" s="25">
        <f t="shared" si="4"/>
        <v>2.73</v>
      </c>
      <c r="F39" s="22">
        <f t="shared" si="5"/>
        <v>2.73</v>
      </c>
      <c r="G39" s="32" t="s">
        <v>260</v>
      </c>
      <c r="H39" s="33" t="s">
        <v>261</v>
      </c>
      <c r="I39" s="43">
        <f>I6</f>
        <v>67510</v>
      </c>
      <c r="J39" s="44">
        <f t="shared" si="2"/>
        <v>0.4</v>
      </c>
      <c r="K39" s="45">
        <f t="shared" si="1"/>
        <v>0.0001</v>
      </c>
      <c r="L39" s="26"/>
      <c r="N39" s="25">
        <f>[1]Sheet3!E30</f>
        <v>27261.45</v>
      </c>
    </row>
    <row r="40" s="5" customFormat="true" ht="21.95" customHeight="true" spans="1:14">
      <c r="A40" s="24" t="s">
        <v>156</v>
      </c>
      <c r="B40" s="26" t="s">
        <v>157</v>
      </c>
      <c r="C40" s="25"/>
      <c r="D40" s="25"/>
      <c r="E40" s="25">
        <f t="shared" si="4"/>
        <v>89.79</v>
      </c>
      <c r="F40" s="22">
        <f t="shared" si="5"/>
        <v>89.79</v>
      </c>
      <c r="G40" s="32" t="s">
        <v>260</v>
      </c>
      <c r="H40" s="33" t="s">
        <v>261</v>
      </c>
      <c r="I40" s="43">
        <f>I6</f>
        <v>67510</v>
      </c>
      <c r="J40" s="44">
        <f t="shared" si="2"/>
        <v>13.3</v>
      </c>
      <c r="K40" s="45">
        <f t="shared" si="1"/>
        <v>0.002</v>
      </c>
      <c r="L40" s="26"/>
      <c r="N40" s="25">
        <f>[1]Sheet3!E31</f>
        <v>897939.57</v>
      </c>
    </row>
    <row r="41" s="5" customFormat="true" ht="21.95" customHeight="true" spans="1:14">
      <c r="A41" s="24" t="s">
        <v>158</v>
      </c>
      <c r="B41" s="23" t="s">
        <v>159</v>
      </c>
      <c r="C41" s="25"/>
      <c r="D41" s="25"/>
      <c r="E41" s="25">
        <f t="shared" si="4"/>
        <v>33.82</v>
      </c>
      <c r="F41" s="22">
        <f t="shared" si="5"/>
        <v>33.82</v>
      </c>
      <c r="G41" s="32" t="s">
        <v>260</v>
      </c>
      <c r="H41" s="33" t="s">
        <v>261</v>
      </c>
      <c r="I41" s="43">
        <f>I6</f>
        <v>67510</v>
      </c>
      <c r="J41" s="44">
        <f t="shared" si="2"/>
        <v>5.01</v>
      </c>
      <c r="K41" s="45">
        <f t="shared" si="1"/>
        <v>0.0007</v>
      </c>
      <c r="L41" s="26"/>
      <c r="N41" s="25">
        <f>[1]Sheet3!E32</f>
        <v>338173.43</v>
      </c>
    </row>
    <row r="42" s="5" customFormat="true" ht="21.95" customHeight="true" spans="1:14">
      <c r="A42" s="24" t="s">
        <v>160</v>
      </c>
      <c r="B42" s="26" t="s">
        <v>161</v>
      </c>
      <c r="C42" s="25"/>
      <c r="D42" s="25"/>
      <c r="E42" s="25">
        <f t="shared" si="4"/>
        <v>17.94</v>
      </c>
      <c r="F42" s="22">
        <f t="shared" si="5"/>
        <v>17.94</v>
      </c>
      <c r="G42" s="32" t="s">
        <v>260</v>
      </c>
      <c r="H42" s="33" t="s">
        <v>261</v>
      </c>
      <c r="I42" s="43">
        <f>I6</f>
        <v>67510</v>
      </c>
      <c r="J42" s="44">
        <f t="shared" si="2"/>
        <v>2.66</v>
      </c>
      <c r="K42" s="45">
        <f t="shared" si="1"/>
        <v>0.0004</v>
      </c>
      <c r="L42" s="26"/>
      <c r="N42" s="25">
        <f>[1]Sheet3!E33</f>
        <v>179382.35</v>
      </c>
    </row>
    <row r="43" s="5" customFormat="true" ht="21.95" customHeight="true" spans="1:14">
      <c r="A43" s="24" t="s">
        <v>162</v>
      </c>
      <c r="B43" s="23" t="s">
        <v>163</v>
      </c>
      <c r="C43" s="25"/>
      <c r="D43" s="25"/>
      <c r="E43" s="25">
        <f t="shared" si="4"/>
        <v>11.48</v>
      </c>
      <c r="F43" s="22">
        <f t="shared" si="5"/>
        <v>11.48</v>
      </c>
      <c r="G43" s="32" t="s">
        <v>260</v>
      </c>
      <c r="H43" s="33" t="s">
        <v>261</v>
      </c>
      <c r="I43" s="43">
        <f>I6</f>
        <v>67510</v>
      </c>
      <c r="J43" s="44">
        <f t="shared" si="2"/>
        <v>1.7</v>
      </c>
      <c r="K43" s="45">
        <f t="shared" si="1"/>
        <v>0.0003</v>
      </c>
      <c r="L43" s="26"/>
      <c r="N43" s="25">
        <f>[1]Sheet3!E34</f>
        <v>114768.09</v>
      </c>
    </row>
    <row r="44" s="5" customFormat="true" ht="21.95" customHeight="true" spans="1:14">
      <c r="A44" s="24" t="s">
        <v>164</v>
      </c>
      <c r="B44" s="26" t="s">
        <v>165</v>
      </c>
      <c r="C44" s="25"/>
      <c r="D44" s="25"/>
      <c r="E44" s="25">
        <f t="shared" si="4"/>
        <v>42.31</v>
      </c>
      <c r="F44" s="22">
        <f t="shared" si="5"/>
        <v>42.31</v>
      </c>
      <c r="G44" s="32" t="s">
        <v>260</v>
      </c>
      <c r="H44" s="33" t="s">
        <v>261</v>
      </c>
      <c r="I44" s="43">
        <f>I6</f>
        <v>67510</v>
      </c>
      <c r="J44" s="44">
        <f t="shared" si="2"/>
        <v>6.27</v>
      </c>
      <c r="K44" s="45">
        <f t="shared" si="1"/>
        <v>0.0009</v>
      </c>
      <c r="L44" s="26"/>
      <c r="N44" s="25">
        <f>[1]Sheet3!E35</f>
        <v>423077.09</v>
      </c>
    </row>
    <row r="45" s="5" customFormat="true" ht="21.95" customHeight="true" spans="1:14">
      <c r="A45" s="24" t="s">
        <v>166</v>
      </c>
      <c r="B45" s="26" t="s">
        <v>167</v>
      </c>
      <c r="C45" s="25"/>
      <c r="D45" s="25"/>
      <c r="E45" s="25">
        <f t="shared" si="4"/>
        <v>42.19</v>
      </c>
      <c r="F45" s="22">
        <f t="shared" si="5"/>
        <v>42.19</v>
      </c>
      <c r="G45" s="32" t="s">
        <v>260</v>
      </c>
      <c r="H45" s="33" t="s">
        <v>261</v>
      </c>
      <c r="I45" s="43">
        <f>I6</f>
        <v>67510</v>
      </c>
      <c r="J45" s="44">
        <f t="shared" si="2"/>
        <v>6.25</v>
      </c>
      <c r="K45" s="45">
        <f t="shared" si="1"/>
        <v>0.0009</v>
      </c>
      <c r="L45" s="26"/>
      <c r="N45" s="25">
        <f>[1]Sheet3!E36</f>
        <v>421914.58</v>
      </c>
    </row>
    <row r="46" s="5" customFormat="true" ht="21.95" customHeight="true" spans="1:14">
      <c r="A46" s="24" t="s">
        <v>168</v>
      </c>
      <c r="B46" s="23" t="s">
        <v>169</v>
      </c>
      <c r="C46" s="25"/>
      <c r="D46" s="25"/>
      <c r="E46" s="25">
        <f t="shared" si="4"/>
        <v>14.26</v>
      </c>
      <c r="F46" s="22">
        <f t="shared" si="5"/>
        <v>14.26</v>
      </c>
      <c r="G46" s="32" t="s">
        <v>260</v>
      </c>
      <c r="H46" s="33" t="s">
        <v>261</v>
      </c>
      <c r="I46" s="43">
        <f>I6</f>
        <v>67510</v>
      </c>
      <c r="J46" s="44">
        <f t="shared" si="2"/>
        <v>2.11</v>
      </c>
      <c r="K46" s="45">
        <f t="shared" si="1"/>
        <v>0.0003</v>
      </c>
      <c r="L46" s="26"/>
      <c r="N46" s="25">
        <f>[1]Sheet3!E37</f>
        <v>142623.32</v>
      </c>
    </row>
    <row r="47" s="5" customFormat="true" ht="21.95" customHeight="true" spans="1:14">
      <c r="A47" s="24" t="s">
        <v>170</v>
      </c>
      <c r="B47" s="23" t="s">
        <v>171</v>
      </c>
      <c r="C47" s="25"/>
      <c r="D47" s="25"/>
      <c r="E47" s="25">
        <f t="shared" si="4"/>
        <v>12.6</v>
      </c>
      <c r="F47" s="22">
        <f t="shared" si="5"/>
        <v>12.6</v>
      </c>
      <c r="G47" s="32" t="s">
        <v>260</v>
      </c>
      <c r="H47" s="33" t="s">
        <v>261</v>
      </c>
      <c r="I47" s="43">
        <f>I6</f>
        <v>67510</v>
      </c>
      <c r="J47" s="44">
        <f t="shared" si="2"/>
        <v>1.87</v>
      </c>
      <c r="K47" s="45">
        <f t="shared" si="1"/>
        <v>0.0003</v>
      </c>
      <c r="L47" s="26"/>
      <c r="N47" s="25">
        <f>[1]Sheet3!E38</f>
        <v>126035.08</v>
      </c>
    </row>
    <row r="48" s="5" customFormat="true" ht="21.95" customHeight="true" spans="1:14">
      <c r="A48" s="24" t="s">
        <v>172</v>
      </c>
      <c r="B48" s="23" t="s">
        <v>173</v>
      </c>
      <c r="C48" s="25"/>
      <c r="D48" s="25"/>
      <c r="E48" s="25">
        <f t="shared" si="4"/>
        <v>4.38</v>
      </c>
      <c r="F48" s="22">
        <f t="shared" si="5"/>
        <v>4.38</v>
      </c>
      <c r="G48" s="32" t="s">
        <v>260</v>
      </c>
      <c r="H48" s="33" t="s">
        <v>261</v>
      </c>
      <c r="I48" s="43">
        <f>I6</f>
        <v>67510</v>
      </c>
      <c r="J48" s="44">
        <f t="shared" si="2"/>
        <v>0.65</v>
      </c>
      <c r="K48" s="45">
        <f t="shared" si="1"/>
        <v>0.0001</v>
      </c>
      <c r="L48" s="26"/>
      <c r="N48" s="25">
        <f>[1]Sheet3!E39</f>
        <v>43788.42</v>
      </c>
    </row>
    <row r="49" s="5" customFormat="true" ht="21.95" customHeight="true" spans="1:14">
      <c r="A49" s="24" t="s">
        <v>174</v>
      </c>
      <c r="B49" s="23" t="s">
        <v>175</v>
      </c>
      <c r="C49" s="25"/>
      <c r="D49" s="25"/>
      <c r="E49" s="25">
        <f t="shared" si="4"/>
        <v>262.61</v>
      </c>
      <c r="F49" s="22">
        <f t="shared" si="5"/>
        <v>262.61</v>
      </c>
      <c r="G49" s="32" t="s">
        <v>260</v>
      </c>
      <c r="H49" s="33" t="s">
        <v>261</v>
      </c>
      <c r="I49" s="43">
        <f>I6</f>
        <v>67510</v>
      </c>
      <c r="J49" s="44">
        <f t="shared" si="2"/>
        <v>38.9</v>
      </c>
      <c r="K49" s="45">
        <f t="shared" si="1"/>
        <v>0.0058</v>
      </c>
      <c r="L49" s="26"/>
      <c r="N49" s="25">
        <f>[1]Sheet3!E40</f>
        <v>2626055.72</v>
      </c>
    </row>
    <row r="50" s="5" customFormat="true" ht="21.95" customHeight="true" spans="1:14">
      <c r="A50" s="24" t="s">
        <v>176</v>
      </c>
      <c r="B50" s="23" t="s">
        <v>177</v>
      </c>
      <c r="C50" s="25"/>
      <c r="D50" s="25"/>
      <c r="E50" s="25">
        <f t="shared" si="4"/>
        <v>8.57</v>
      </c>
      <c r="F50" s="22">
        <f t="shared" si="5"/>
        <v>8.57</v>
      </c>
      <c r="G50" s="32" t="s">
        <v>260</v>
      </c>
      <c r="H50" s="33" t="s">
        <v>261</v>
      </c>
      <c r="I50" s="43">
        <f>I6</f>
        <v>67510</v>
      </c>
      <c r="J50" s="44">
        <f t="shared" si="2"/>
        <v>1.27</v>
      </c>
      <c r="K50" s="45">
        <f t="shared" si="1"/>
        <v>0.0002</v>
      </c>
      <c r="L50" s="26"/>
      <c r="N50" s="25">
        <f>[1]Sheet3!E41</f>
        <v>85715.26</v>
      </c>
    </row>
    <row r="51" s="5" customFormat="true" ht="21.95" customHeight="true" spans="1:14">
      <c r="A51" s="24" t="s">
        <v>178</v>
      </c>
      <c r="B51" s="23" t="s">
        <v>179</v>
      </c>
      <c r="C51" s="25"/>
      <c r="D51" s="25"/>
      <c r="E51" s="25">
        <f t="shared" si="4"/>
        <v>45.95</v>
      </c>
      <c r="F51" s="22">
        <f t="shared" si="5"/>
        <v>45.95</v>
      </c>
      <c r="G51" s="32" t="s">
        <v>260</v>
      </c>
      <c r="H51" s="33" t="s">
        <v>261</v>
      </c>
      <c r="I51" s="43">
        <f>I6</f>
        <v>67510</v>
      </c>
      <c r="J51" s="44">
        <f t="shared" si="2"/>
        <v>6.81</v>
      </c>
      <c r="K51" s="45">
        <f t="shared" si="1"/>
        <v>0.001</v>
      </c>
      <c r="L51" s="26"/>
      <c r="N51" s="25">
        <f>[1]Sheet3!E42</f>
        <v>459543.9</v>
      </c>
    </row>
    <row r="52" s="5" customFormat="true" ht="21.95" customHeight="true" spans="1:14">
      <c r="A52" s="24" t="s">
        <v>180</v>
      </c>
      <c r="B52" s="23" t="s">
        <v>181</v>
      </c>
      <c r="C52" s="25"/>
      <c r="D52" s="25"/>
      <c r="E52" s="25">
        <f t="shared" si="4"/>
        <v>156.22</v>
      </c>
      <c r="F52" s="22">
        <f t="shared" si="5"/>
        <v>156.22</v>
      </c>
      <c r="G52" s="32" t="s">
        <v>260</v>
      </c>
      <c r="H52" s="33" t="s">
        <v>261</v>
      </c>
      <c r="I52" s="43">
        <f>I6</f>
        <v>67510</v>
      </c>
      <c r="J52" s="44">
        <f t="shared" si="2"/>
        <v>23.14</v>
      </c>
      <c r="K52" s="45">
        <f t="shared" si="1"/>
        <v>0.0034</v>
      </c>
      <c r="L52" s="26"/>
      <c r="N52" s="25">
        <f>[1]Sheet3!E43</f>
        <v>1562162.13</v>
      </c>
    </row>
    <row r="53" s="5" customFormat="true" ht="21.95" customHeight="true" spans="1:14">
      <c r="A53" s="24" t="s">
        <v>182</v>
      </c>
      <c r="B53" s="23" t="s">
        <v>183</v>
      </c>
      <c r="C53" s="25"/>
      <c r="D53" s="25"/>
      <c r="E53" s="25">
        <f t="shared" si="4"/>
        <v>61.23</v>
      </c>
      <c r="F53" s="22">
        <f t="shared" si="5"/>
        <v>61.23</v>
      </c>
      <c r="G53" s="32" t="s">
        <v>260</v>
      </c>
      <c r="H53" s="33" t="s">
        <v>261</v>
      </c>
      <c r="I53" s="43">
        <f>I6</f>
        <v>67510</v>
      </c>
      <c r="J53" s="44">
        <f t="shared" si="2"/>
        <v>9.07</v>
      </c>
      <c r="K53" s="45">
        <f t="shared" si="1"/>
        <v>0.0013</v>
      </c>
      <c r="L53" s="26"/>
      <c r="N53" s="25">
        <f>[1]Sheet3!E44</f>
        <v>612261.95</v>
      </c>
    </row>
    <row r="54" s="5" customFormat="true" ht="21.95" customHeight="true" spans="1:14">
      <c r="A54" s="24" t="s">
        <v>26</v>
      </c>
      <c r="B54" s="23" t="s">
        <v>27</v>
      </c>
      <c r="C54" s="25"/>
      <c r="D54" s="25">
        <f>5460176.96/10000</f>
        <v>546.02</v>
      </c>
      <c r="E54" s="25">
        <f>N54/10000-D54</f>
        <v>49.14</v>
      </c>
      <c r="F54" s="22">
        <f t="shared" si="5"/>
        <v>595.16</v>
      </c>
      <c r="G54" s="32" t="s">
        <v>216</v>
      </c>
      <c r="H54" s="33" t="s">
        <v>264</v>
      </c>
      <c r="I54" s="43">
        <v>17</v>
      </c>
      <c r="J54" s="44">
        <f t="shared" si="2"/>
        <v>350094.12</v>
      </c>
      <c r="K54" s="45">
        <f t="shared" si="1"/>
        <v>0.0131</v>
      </c>
      <c r="L54" s="26"/>
      <c r="N54" s="48">
        <f>[1]Sheet3!E45</f>
        <v>5951592.89</v>
      </c>
    </row>
    <row r="55" s="5" customFormat="true" ht="21.95" customHeight="true" spans="1:12">
      <c r="A55" s="24" t="s">
        <v>29</v>
      </c>
      <c r="B55" s="23" t="s">
        <v>30</v>
      </c>
      <c r="C55" s="25"/>
      <c r="D55" s="25"/>
      <c r="E55" s="25">
        <f>I55*J55/10000</f>
        <v>450</v>
      </c>
      <c r="F55" s="22">
        <f t="shared" si="5"/>
        <v>450</v>
      </c>
      <c r="G55" s="32" t="s">
        <v>216</v>
      </c>
      <c r="H55" s="33" t="s">
        <v>264</v>
      </c>
      <c r="I55" s="43">
        <v>300</v>
      </c>
      <c r="J55" s="44">
        <v>15000</v>
      </c>
      <c r="K55" s="45">
        <f t="shared" si="1"/>
        <v>0.0099</v>
      </c>
      <c r="L55" s="26"/>
    </row>
    <row r="56" s="5" customFormat="true" ht="21.95" customHeight="true" spans="1:12">
      <c r="A56" s="24" t="s">
        <v>32</v>
      </c>
      <c r="B56" s="23" t="s">
        <v>33</v>
      </c>
      <c r="C56" s="25"/>
      <c r="D56" s="25"/>
      <c r="E56" s="25">
        <f>I56*J56/10000</f>
        <v>337.55</v>
      </c>
      <c r="F56" s="22">
        <f t="shared" si="5"/>
        <v>337.55</v>
      </c>
      <c r="G56" s="32" t="s">
        <v>260</v>
      </c>
      <c r="H56" s="33" t="s">
        <v>261</v>
      </c>
      <c r="I56" s="43">
        <f>I6</f>
        <v>67510</v>
      </c>
      <c r="J56" s="44">
        <v>50</v>
      </c>
      <c r="K56" s="45">
        <f t="shared" si="1"/>
        <v>0.0074</v>
      </c>
      <c r="L56" s="26"/>
    </row>
    <row r="57" ht="21" customHeight="true" spans="1:12">
      <c r="A57" s="24" t="s">
        <v>34</v>
      </c>
      <c r="B57" s="23" t="s">
        <v>35</v>
      </c>
      <c r="C57" s="29"/>
      <c r="D57" s="25">
        <v>360</v>
      </c>
      <c r="E57" s="25">
        <f>I57*J57/10000-D57</f>
        <v>40</v>
      </c>
      <c r="F57" s="22">
        <f t="shared" si="5"/>
        <v>400</v>
      </c>
      <c r="G57" s="32" t="s">
        <v>265</v>
      </c>
      <c r="H57" s="33" t="s">
        <v>266</v>
      </c>
      <c r="I57" s="43">
        <v>20</v>
      </c>
      <c r="J57" s="44">
        <v>200000</v>
      </c>
      <c r="K57" s="45">
        <f t="shared" si="1"/>
        <v>0.0088</v>
      </c>
      <c r="L57" s="29"/>
    </row>
    <row r="58" ht="21" customHeight="true" spans="1:12">
      <c r="A58" s="24" t="s">
        <v>37</v>
      </c>
      <c r="B58" s="23" t="s">
        <v>38</v>
      </c>
      <c r="C58" s="25">
        <f>I58*J58/10000</f>
        <v>67.51</v>
      </c>
      <c r="D58" s="29"/>
      <c r="E58" s="29"/>
      <c r="F58" s="22">
        <f t="shared" si="5"/>
        <v>67.51</v>
      </c>
      <c r="G58" s="32" t="s">
        <v>260</v>
      </c>
      <c r="H58" s="33" t="s">
        <v>261</v>
      </c>
      <c r="I58" s="43">
        <f>I6</f>
        <v>67510</v>
      </c>
      <c r="J58" s="44">
        <v>10</v>
      </c>
      <c r="K58" s="45">
        <f t="shared" si="1"/>
        <v>0.0015</v>
      </c>
      <c r="L58" s="29"/>
    </row>
  </sheetData>
  <mergeCells count="7">
    <mergeCell ref="A1:L1"/>
    <mergeCell ref="A2:K2"/>
    <mergeCell ref="C3:F3"/>
    <mergeCell ref="G3:K3"/>
    <mergeCell ref="A3:A4"/>
    <mergeCell ref="B3:B4"/>
    <mergeCell ref="L3:L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"/>
  <sheetViews>
    <sheetView workbookViewId="0">
      <selection activeCell="A1" sqref="$A1:$XFD1048576"/>
    </sheetView>
  </sheetViews>
  <sheetFormatPr defaultColWidth="9" defaultRowHeight="13.5" outlineLevelCol="7"/>
  <cols>
    <col min="1" max="1" width="7.5" style="132" customWidth="true"/>
    <col min="2" max="2" width="43.5" customWidth="true"/>
    <col min="3" max="3" width="9" style="132"/>
    <col min="4" max="4" width="11.75" customWidth="true"/>
    <col min="5" max="5" width="12.125" customWidth="true"/>
    <col min="8" max="8" width="10.625" customWidth="true"/>
  </cols>
  <sheetData>
    <row r="1" ht="36.75" customHeight="true" spans="1:8">
      <c r="A1" s="134" t="s">
        <v>101</v>
      </c>
      <c r="B1" s="134"/>
      <c r="C1" s="134"/>
      <c r="D1" s="134"/>
      <c r="E1" s="134"/>
      <c r="F1" s="134"/>
      <c r="G1" s="134"/>
      <c r="H1" s="134"/>
    </row>
    <row r="2" s="132" customFormat="true" spans="1:8">
      <c r="A2" s="135" t="s">
        <v>1</v>
      </c>
      <c r="B2" s="135" t="s">
        <v>2</v>
      </c>
      <c r="C2" s="135" t="s">
        <v>3</v>
      </c>
      <c r="D2" s="135" t="s">
        <v>4</v>
      </c>
      <c r="E2" s="135" t="s">
        <v>5</v>
      </c>
      <c r="F2" s="135" t="s">
        <v>6</v>
      </c>
      <c r="G2" s="135" t="s">
        <v>7</v>
      </c>
      <c r="H2" s="135" t="s">
        <v>8</v>
      </c>
    </row>
    <row r="3" s="133" customFormat="true" spans="1:8">
      <c r="A3" s="136" t="s">
        <v>9</v>
      </c>
      <c r="B3" s="137" t="s">
        <v>10</v>
      </c>
      <c r="C3" s="136"/>
      <c r="D3" s="138">
        <v>29179.93</v>
      </c>
      <c r="E3" s="138">
        <v>19995.52</v>
      </c>
      <c r="F3" s="138">
        <v>906.02</v>
      </c>
      <c r="G3" s="138">
        <v>0</v>
      </c>
      <c r="H3" s="138">
        <v>50081.47</v>
      </c>
    </row>
    <row r="4" s="133" customFormat="true" spans="1:8">
      <c r="A4" s="136" t="s">
        <v>11</v>
      </c>
      <c r="B4" s="137" t="s">
        <v>12</v>
      </c>
      <c r="C4" s="136" t="s">
        <v>13</v>
      </c>
      <c r="D4" s="138">
        <v>28332.02</v>
      </c>
      <c r="E4" s="138">
        <v>16334.14</v>
      </c>
      <c r="F4" s="138">
        <v>906.02</v>
      </c>
      <c r="G4" s="138"/>
      <c r="H4" s="138">
        <v>45572.18</v>
      </c>
    </row>
    <row r="5" spans="1:8">
      <c r="A5" s="135">
        <v>1</v>
      </c>
      <c r="B5" s="121" t="s">
        <v>14</v>
      </c>
      <c r="C5" s="135" t="s">
        <v>13</v>
      </c>
      <c r="D5" s="139">
        <v>19783.07</v>
      </c>
      <c r="E5" s="139">
        <v>0</v>
      </c>
      <c r="F5" s="139">
        <v>0</v>
      </c>
      <c r="G5" s="139"/>
      <c r="H5" s="139">
        <v>19783.07</v>
      </c>
    </row>
    <row r="6" spans="1:8">
      <c r="A6" s="135" t="s">
        <v>102</v>
      </c>
      <c r="B6" s="121" t="s">
        <v>103</v>
      </c>
      <c r="C6" s="135" t="s">
        <v>104</v>
      </c>
      <c r="D6" s="139">
        <v>1805</v>
      </c>
      <c r="E6" s="139">
        <v>0</v>
      </c>
      <c r="F6" s="139">
        <v>0</v>
      </c>
      <c r="G6" s="139"/>
      <c r="H6" s="139">
        <v>1805</v>
      </c>
    </row>
    <row r="7" spans="1:8">
      <c r="A7" s="135" t="s">
        <v>105</v>
      </c>
      <c r="B7" s="121" t="s">
        <v>106</v>
      </c>
      <c r="C7" s="135" t="s">
        <v>104</v>
      </c>
      <c r="D7" s="139">
        <v>6682.22</v>
      </c>
      <c r="E7" s="139">
        <v>0</v>
      </c>
      <c r="F7" s="139">
        <v>0</v>
      </c>
      <c r="G7" s="139"/>
      <c r="H7" s="139">
        <v>6682.22</v>
      </c>
    </row>
    <row r="8" spans="1:8">
      <c r="A8" s="135" t="s">
        <v>107</v>
      </c>
      <c r="B8" s="121" t="s">
        <v>108</v>
      </c>
      <c r="C8" s="135" t="s">
        <v>13</v>
      </c>
      <c r="D8" s="139">
        <v>1919.81</v>
      </c>
      <c r="E8" s="139">
        <v>0</v>
      </c>
      <c r="F8" s="139">
        <v>0</v>
      </c>
      <c r="G8" s="139"/>
      <c r="H8" s="139">
        <v>1919.81</v>
      </c>
    </row>
    <row r="9" spans="1:8">
      <c r="A9" s="135" t="s">
        <v>109</v>
      </c>
      <c r="B9" s="121" t="s">
        <v>110</v>
      </c>
      <c r="C9" s="135" t="s">
        <v>111</v>
      </c>
      <c r="D9" s="139">
        <v>9376.04</v>
      </c>
      <c r="E9" s="139">
        <v>0</v>
      </c>
      <c r="F9" s="139">
        <v>0</v>
      </c>
      <c r="G9" s="139"/>
      <c r="H9" s="139">
        <v>9376.04</v>
      </c>
    </row>
    <row r="10" spans="1:8">
      <c r="A10" s="135">
        <v>2</v>
      </c>
      <c r="B10" s="121" t="s">
        <v>15</v>
      </c>
      <c r="C10" s="135" t="s">
        <v>13</v>
      </c>
      <c r="D10" s="139">
        <v>8481.44</v>
      </c>
      <c r="E10" s="139">
        <v>0</v>
      </c>
      <c r="F10" s="139">
        <v>0</v>
      </c>
      <c r="G10" s="139"/>
      <c r="H10" s="139">
        <v>8481.44</v>
      </c>
    </row>
    <row r="11" spans="1:8">
      <c r="A11" s="135">
        <v>2.1</v>
      </c>
      <c r="B11" s="121" t="s">
        <v>112</v>
      </c>
      <c r="C11" s="135" t="s">
        <v>104</v>
      </c>
      <c r="D11" s="139">
        <v>986.17</v>
      </c>
      <c r="E11" s="139">
        <v>0</v>
      </c>
      <c r="F11" s="139">
        <v>0</v>
      </c>
      <c r="G11" s="139"/>
      <c r="H11" s="139">
        <v>986.17</v>
      </c>
    </row>
    <row r="12" spans="1:8">
      <c r="A12" s="135">
        <v>2.2</v>
      </c>
      <c r="B12" s="121" t="s">
        <v>113</v>
      </c>
      <c r="C12" s="135" t="s">
        <v>111</v>
      </c>
      <c r="D12" s="139">
        <v>5578.79</v>
      </c>
      <c r="E12" s="139">
        <v>0</v>
      </c>
      <c r="F12" s="139">
        <v>0</v>
      </c>
      <c r="G12" s="139"/>
      <c r="H12" s="139">
        <v>5578.79</v>
      </c>
    </row>
    <row r="13" spans="1:8">
      <c r="A13" s="135" t="s">
        <v>114</v>
      </c>
      <c r="B13" s="121" t="s">
        <v>115</v>
      </c>
      <c r="C13" s="135" t="s">
        <v>111</v>
      </c>
      <c r="D13" s="139">
        <v>1916.48</v>
      </c>
      <c r="E13" s="139">
        <v>0</v>
      </c>
      <c r="F13" s="139">
        <v>0</v>
      </c>
      <c r="G13" s="139"/>
      <c r="H13" s="139">
        <v>1916.48</v>
      </c>
    </row>
    <row r="14" spans="1:8">
      <c r="A14" s="135" t="s">
        <v>16</v>
      </c>
      <c r="B14" s="121" t="s">
        <v>17</v>
      </c>
      <c r="C14" s="135" t="s">
        <v>13</v>
      </c>
      <c r="D14" s="139">
        <v>0</v>
      </c>
      <c r="E14" s="139">
        <v>2592.52</v>
      </c>
      <c r="F14" s="139">
        <v>0</v>
      </c>
      <c r="G14" s="139"/>
      <c r="H14" s="139">
        <v>2592.52</v>
      </c>
    </row>
    <row r="15" spans="1:8">
      <c r="A15" s="135" t="s">
        <v>116</v>
      </c>
      <c r="B15" s="121" t="s">
        <v>117</v>
      </c>
      <c r="C15" s="135" t="s">
        <v>13</v>
      </c>
      <c r="D15" s="139">
        <v>0</v>
      </c>
      <c r="E15" s="139">
        <v>1541.34</v>
      </c>
      <c r="F15" s="139">
        <v>0</v>
      </c>
      <c r="G15" s="139"/>
      <c r="H15" s="139">
        <v>1541.34</v>
      </c>
    </row>
    <row r="16" spans="1:8">
      <c r="A16" s="135" t="s">
        <v>118</v>
      </c>
      <c r="B16" s="121" t="s">
        <v>119</v>
      </c>
      <c r="C16" s="135" t="s">
        <v>13</v>
      </c>
      <c r="D16" s="139">
        <v>0</v>
      </c>
      <c r="E16" s="139">
        <v>1051.18</v>
      </c>
      <c r="F16" s="139">
        <v>0</v>
      </c>
      <c r="G16" s="139"/>
      <c r="H16" s="139">
        <v>1051.18</v>
      </c>
    </row>
    <row r="17" spans="1:8">
      <c r="A17" s="135" t="s">
        <v>18</v>
      </c>
      <c r="B17" s="121" t="s">
        <v>19</v>
      </c>
      <c r="C17" s="135" t="s">
        <v>13</v>
      </c>
      <c r="D17" s="139">
        <v>0</v>
      </c>
      <c r="E17" s="139">
        <v>3822.79</v>
      </c>
      <c r="F17" s="139">
        <v>0</v>
      </c>
      <c r="G17" s="139"/>
      <c r="H17" s="139">
        <v>3822.79</v>
      </c>
    </row>
    <row r="18" spans="1:8">
      <c r="A18" s="135" t="s">
        <v>120</v>
      </c>
      <c r="B18" s="121" t="s">
        <v>121</v>
      </c>
      <c r="C18" s="135" t="s">
        <v>13</v>
      </c>
      <c r="D18" s="139">
        <v>0</v>
      </c>
      <c r="E18" s="139">
        <v>66.15</v>
      </c>
      <c r="F18" s="139">
        <v>0</v>
      </c>
      <c r="G18" s="139"/>
      <c r="H18" s="139">
        <v>66.15</v>
      </c>
    </row>
    <row r="19" spans="1:8">
      <c r="A19" s="135" t="s">
        <v>122</v>
      </c>
      <c r="B19" s="121" t="s">
        <v>123</v>
      </c>
      <c r="C19" s="135" t="s">
        <v>13</v>
      </c>
      <c r="D19" s="139">
        <v>0</v>
      </c>
      <c r="E19" s="139">
        <v>3756.64</v>
      </c>
      <c r="F19" s="139">
        <v>0</v>
      </c>
      <c r="G19" s="139"/>
      <c r="H19" s="139">
        <v>3756.64</v>
      </c>
    </row>
    <row r="20" spans="1:8">
      <c r="A20" s="135" t="s">
        <v>20</v>
      </c>
      <c r="B20" s="121" t="s">
        <v>21</v>
      </c>
      <c r="C20" s="135" t="s">
        <v>13</v>
      </c>
      <c r="D20" s="139">
        <v>0</v>
      </c>
      <c r="E20" s="139">
        <v>546.93</v>
      </c>
      <c r="F20" s="139">
        <v>0</v>
      </c>
      <c r="G20" s="139"/>
      <c r="H20" s="139">
        <v>546.93</v>
      </c>
    </row>
    <row r="21" spans="1:8">
      <c r="A21" s="135" t="s">
        <v>124</v>
      </c>
      <c r="B21" s="121" t="s">
        <v>125</v>
      </c>
      <c r="C21" s="135" t="s">
        <v>13</v>
      </c>
      <c r="D21" s="139">
        <v>0</v>
      </c>
      <c r="E21" s="139">
        <v>43.64</v>
      </c>
      <c r="F21" s="139">
        <v>0</v>
      </c>
      <c r="G21" s="139"/>
      <c r="H21" s="139">
        <v>43.64</v>
      </c>
    </row>
    <row r="22" spans="1:8">
      <c r="A22" s="135" t="s">
        <v>126</v>
      </c>
      <c r="B22" s="121" t="s">
        <v>127</v>
      </c>
      <c r="C22" s="135" t="s">
        <v>13</v>
      </c>
      <c r="D22" s="139">
        <v>0</v>
      </c>
      <c r="E22" s="139">
        <v>503.29</v>
      </c>
      <c r="F22" s="139">
        <v>0</v>
      </c>
      <c r="G22" s="139"/>
      <c r="H22" s="139">
        <v>503.29</v>
      </c>
    </row>
    <row r="23" spans="1:8">
      <c r="A23" s="135" t="s">
        <v>22</v>
      </c>
      <c r="B23" s="121" t="s">
        <v>23</v>
      </c>
      <c r="C23" s="135" t="s">
        <v>13</v>
      </c>
      <c r="D23" s="139">
        <v>0</v>
      </c>
      <c r="E23" s="139">
        <v>5129.5</v>
      </c>
      <c r="F23" s="139">
        <v>0</v>
      </c>
      <c r="G23" s="139"/>
      <c r="H23" s="139">
        <v>5129.5</v>
      </c>
    </row>
    <row r="24" spans="1:8">
      <c r="A24" s="135" t="s">
        <v>128</v>
      </c>
      <c r="B24" s="121" t="s">
        <v>129</v>
      </c>
      <c r="C24" s="135" t="s">
        <v>13</v>
      </c>
      <c r="D24" s="139">
        <v>0</v>
      </c>
      <c r="E24" s="139">
        <v>1256.36</v>
      </c>
      <c r="F24" s="139">
        <v>0</v>
      </c>
      <c r="G24" s="139"/>
      <c r="H24" s="139">
        <v>1256.36</v>
      </c>
    </row>
    <row r="25" spans="1:8">
      <c r="A25" s="135" t="s">
        <v>130</v>
      </c>
      <c r="B25" s="121" t="s">
        <v>131</v>
      </c>
      <c r="C25" s="135" t="s">
        <v>13</v>
      </c>
      <c r="D25" s="139">
        <v>0</v>
      </c>
      <c r="E25" s="139">
        <v>3873.14</v>
      </c>
      <c r="F25" s="139">
        <v>0</v>
      </c>
      <c r="G25" s="139"/>
      <c r="H25" s="139">
        <v>3873.14</v>
      </c>
    </row>
    <row r="26" spans="1:8">
      <c r="A26" s="135" t="s">
        <v>24</v>
      </c>
      <c r="B26" s="121" t="s">
        <v>25</v>
      </c>
      <c r="C26" s="135" t="s">
        <v>13</v>
      </c>
      <c r="D26" s="139">
        <v>0</v>
      </c>
      <c r="E26" s="139">
        <v>3365.71</v>
      </c>
      <c r="F26" s="139">
        <v>0</v>
      </c>
      <c r="G26" s="139"/>
      <c r="H26" s="139">
        <v>3365.71</v>
      </c>
    </row>
    <row r="27" spans="1:8">
      <c r="A27" s="135" t="s">
        <v>132</v>
      </c>
      <c r="B27" s="121" t="s">
        <v>133</v>
      </c>
      <c r="C27" s="135" t="s">
        <v>13</v>
      </c>
      <c r="D27" s="139">
        <v>0</v>
      </c>
      <c r="E27" s="139">
        <v>590.32</v>
      </c>
      <c r="F27" s="139">
        <v>0</v>
      </c>
      <c r="G27" s="139"/>
      <c r="H27" s="139">
        <v>590.32</v>
      </c>
    </row>
    <row r="28" spans="1:8">
      <c r="A28" s="135" t="s">
        <v>134</v>
      </c>
      <c r="B28" s="121" t="s">
        <v>135</v>
      </c>
      <c r="C28" s="135" t="s">
        <v>13</v>
      </c>
      <c r="D28" s="139">
        <v>0</v>
      </c>
      <c r="E28" s="139">
        <v>56.8</v>
      </c>
      <c r="F28" s="139">
        <v>0</v>
      </c>
      <c r="G28" s="139"/>
      <c r="H28" s="139">
        <v>56.8</v>
      </c>
    </row>
    <row r="29" spans="1:8">
      <c r="A29" s="135" t="s">
        <v>136</v>
      </c>
      <c r="B29" s="121" t="s">
        <v>137</v>
      </c>
      <c r="C29" s="135" t="s">
        <v>13</v>
      </c>
      <c r="D29" s="139">
        <v>0</v>
      </c>
      <c r="E29" s="139">
        <v>37.71</v>
      </c>
      <c r="F29" s="139">
        <v>0</v>
      </c>
      <c r="G29" s="139"/>
      <c r="H29" s="139">
        <v>37.71</v>
      </c>
    </row>
    <row r="30" spans="1:8">
      <c r="A30" s="135" t="s">
        <v>138</v>
      </c>
      <c r="B30" s="121" t="s">
        <v>139</v>
      </c>
      <c r="C30" s="135" t="s">
        <v>13</v>
      </c>
      <c r="D30" s="139">
        <v>0</v>
      </c>
      <c r="E30" s="139">
        <v>142.94</v>
      </c>
      <c r="F30" s="139">
        <v>0</v>
      </c>
      <c r="G30" s="139"/>
      <c r="H30" s="139">
        <v>142.94</v>
      </c>
    </row>
    <row r="31" spans="1:8">
      <c r="A31" s="135" t="s">
        <v>140</v>
      </c>
      <c r="B31" s="121" t="s">
        <v>141</v>
      </c>
      <c r="C31" s="135" t="s">
        <v>13</v>
      </c>
      <c r="D31" s="139">
        <v>0</v>
      </c>
      <c r="E31" s="139">
        <v>639.17</v>
      </c>
      <c r="F31" s="139">
        <v>0</v>
      </c>
      <c r="G31" s="139"/>
      <c r="H31" s="139">
        <v>639.17</v>
      </c>
    </row>
    <row r="32" spans="1:8">
      <c r="A32" s="135" t="s">
        <v>142</v>
      </c>
      <c r="B32" s="121" t="s">
        <v>143</v>
      </c>
      <c r="C32" s="135" t="s">
        <v>13</v>
      </c>
      <c r="D32" s="139">
        <v>0</v>
      </c>
      <c r="E32" s="139">
        <v>9.9</v>
      </c>
      <c r="F32" s="139">
        <v>0</v>
      </c>
      <c r="G32" s="139"/>
      <c r="H32" s="139">
        <v>9.9</v>
      </c>
    </row>
    <row r="33" spans="1:8">
      <c r="A33" s="135" t="s">
        <v>144</v>
      </c>
      <c r="B33" s="121" t="s">
        <v>145</v>
      </c>
      <c r="C33" s="135" t="s">
        <v>13</v>
      </c>
      <c r="D33" s="139">
        <v>0</v>
      </c>
      <c r="E33" s="139">
        <v>315.96</v>
      </c>
      <c r="F33" s="139">
        <v>0</v>
      </c>
      <c r="G33" s="139"/>
      <c r="H33" s="139">
        <v>315.96</v>
      </c>
    </row>
    <row r="34" spans="1:8">
      <c r="A34" s="135" t="s">
        <v>146</v>
      </c>
      <c r="B34" s="121" t="s">
        <v>147</v>
      </c>
      <c r="C34" s="135" t="s">
        <v>13</v>
      </c>
      <c r="D34" s="139">
        <v>0</v>
      </c>
      <c r="E34" s="139">
        <v>326</v>
      </c>
      <c r="F34" s="139">
        <v>0</v>
      </c>
      <c r="G34" s="139"/>
      <c r="H34" s="139">
        <v>326</v>
      </c>
    </row>
    <row r="35" spans="1:8">
      <c r="A35" s="135" t="s">
        <v>148</v>
      </c>
      <c r="B35" s="121" t="s">
        <v>149</v>
      </c>
      <c r="C35" s="135" t="s">
        <v>13</v>
      </c>
      <c r="D35" s="139">
        <v>0</v>
      </c>
      <c r="E35" s="139">
        <v>149.71</v>
      </c>
      <c r="F35" s="139">
        <v>0</v>
      </c>
      <c r="G35" s="139"/>
      <c r="H35" s="139">
        <v>149.71</v>
      </c>
    </row>
    <row r="36" spans="1:8">
      <c r="A36" s="135" t="s">
        <v>150</v>
      </c>
      <c r="B36" s="121" t="s">
        <v>151</v>
      </c>
      <c r="C36" s="135" t="s">
        <v>13</v>
      </c>
      <c r="D36" s="139">
        <v>0</v>
      </c>
      <c r="E36" s="139">
        <v>85.89</v>
      </c>
      <c r="F36" s="139">
        <v>0</v>
      </c>
      <c r="G36" s="139"/>
      <c r="H36" s="139">
        <v>85.89</v>
      </c>
    </row>
    <row r="37" spans="1:8">
      <c r="A37" s="135" t="s">
        <v>152</v>
      </c>
      <c r="B37" s="121" t="s">
        <v>153</v>
      </c>
      <c r="C37" s="135" t="s">
        <v>13</v>
      </c>
      <c r="D37" s="139">
        <v>0</v>
      </c>
      <c r="E37" s="139">
        <v>205.23</v>
      </c>
      <c r="F37" s="139">
        <v>0</v>
      </c>
      <c r="G37" s="139"/>
      <c r="H37" s="139">
        <v>205.23</v>
      </c>
    </row>
    <row r="38" spans="1:8">
      <c r="A38" s="135" t="s">
        <v>154</v>
      </c>
      <c r="B38" s="121" t="s">
        <v>155</v>
      </c>
      <c r="C38" s="135" t="s">
        <v>13</v>
      </c>
      <c r="D38" s="139">
        <v>0</v>
      </c>
      <c r="E38" s="139">
        <v>2.73</v>
      </c>
      <c r="F38" s="139">
        <v>0</v>
      </c>
      <c r="G38" s="139"/>
      <c r="H38" s="139">
        <v>2.73</v>
      </c>
    </row>
    <row r="39" spans="1:8">
      <c r="A39" s="135" t="s">
        <v>156</v>
      </c>
      <c r="B39" s="121" t="s">
        <v>157</v>
      </c>
      <c r="C39" s="135" t="s">
        <v>13</v>
      </c>
      <c r="D39" s="139">
        <v>0</v>
      </c>
      <c r="E39" s="139">
        <v>89.79</v>
      </c>
      <c r="F39" s="139">
        <v>0</v>
      </c>
      <c r="G39" s="139"/>
      <c r="H39" s="139">
        <v>89.79</v>
      </c>
    </row>
    <row r="40" spans="1:8">
      <c r="A40" s="135" t="s">
        <v>158</v>
      </c>
      <c r="B40" s="121" t="s">
        <v>159</v>
      </c>
      <c r="C40" s="135" t="s">
        <v>13</v>
      </c>
      <c r="D40" s="139">
        <v>0</v>
      </c>
      <c r="E40" s="139">
        <v>33.82</v>
      </c>
      <c r="F40" s="139">
        <v>0</v>
      </c>
      <c r="G40" s="139"/>
      <c r="H40" s="139">
        <v>33.82</v>
      </c>
    </row>
    <row r="41" spans="1:8">
      <c r="A41" s="135" t="s">
        <v>160</v>
      </c>
      <c r="B41" s="121" t="s">
        <v>161</v>
      </c>
      <c r="C41" s="135" t="s">
        <v>13</v>
      </c>
      <c r="D41" s="139">
        <v>0</v>
      </c>
      <c r="E41" s="139">
        <v>17.94</v>
      </c>
      <c r="F41" s="139">
        <v>0</v>
      </c>
      <c r="G41" s="139"/>
      <c r="H41" s="139">
        <v>17.94</v>
      </c>
    </row>
    <row r="42" spans="1:8">
      <c r="A42" s="135" t="s">
        <v>162</v>
      </c>
      <c r="B42" s="121" t="s">
        <v>163</v>
      </c>
      <c r="C42" s="135" t="s">
        <v>13</v>
      </c>
      <c r="D42" s="139">
        <v>0</v>
      </c>
      <c r="E42" s="139">
        <v>11.48</v>
      </c>
      <c r="F42" s="139">
        <v>0</v>
      </c>
      <c r="G42" s="139"/>
      <c r="H42" s="139">
        <v>11.48</v>
      </c>
    </row>
    <row r="43" spans="1:8">
      <c r="A43" s="135" t="s">
        <v>164</v>
      </c>
      <c r="B43" s="121" t="s">
        <v>165</v>
      </c>
      <c r="C43" s="135" t="s">
        <v>13</v>
      </c>
      <c r="D43" s="139">
        <v>0</v>
      </c>
      <c r="E43" s="139">
        <v>42.31</v>
      </c>
      <c r="F43" s="139">
        <v>0</v>
      </c>
      <c r="G43" s="139"/>
      <c r="H43" s="139">
        <v>42.31</v>
      </c>
    </row>
    <row r="44" spans="1:8">
      <c r="A44" s="135" t="s">
        <v>166</v>
      </c>
      <c r="B44" s="121" t="s">
        <v>167</v>
      </c>
      <c r="C44" s="135" t="s">
        <v>13</v>
      </c>
      <c r="D44" s="139">
        <v>0</v>
      </c>
      <c r="E44" s="139">
        <v>42.19</v>
      </c>
      <c r="F44" s="139">
        <v>0</v>
      </c>
      <c r="G44" s="139"/>
      <c r="H44" s="139">
        <v>42.19</v>
      </c>
    </row>
    <row r="45" spans="1:8">
      <c r="A45" s="135" t="s">
        <v>168</v>
      </c>
      <c r="B45" s="121" t="s">
        <v>169</v>
      </c>
      <c r="C45" s="135" t="s">
        <v>13</v>
      </c>
      <c r="D45" s="139">
        <v>0</v>
      </c>
      <c r="E45" s="139">
        <v>14.26</v>
      </c>
      <c r="F45" s="139">
        <v>0</v>
      </c>
      <c r="G45" s="139"/>
      <c r="H45" s="139">
        <v>14.26</v>
      </c>
    </row>
    <row r="46" spans="1:8">
      <c r="A46" s="135" t="s">
        <v>170</v>
      </c>
      <c r="B46" s="121" t="s">
        <v>171</v>
      </c>
      <c r="C46" s="135" t="s">
        <v>13</v>
      </c>
      <c r="D46" s="139">
        <v>0</v>
      </c>
      <c r="E46" s="139">
        <v>12.6</v>
      </c>
      <c r="F46" s="139">
        <v>0</v>
      </c>
      <c r="G46" s="139"/>
      <c r="H46" s="139">
        <v>12.6</v>
      </c>
    </row>
    <row r="47" spans="1:8">
      <c r="A47" s="135" t="s">
        <v>172</v>
      </c>
      <c r="B47" s="121" t="s">
        <v>173</v>
      </c>
      <c r="C47" s="135" t="s">
        <v>13</v>
      </c>
      <c r="D47" s="139">
        <v>0</v>
      </c>
      <c r="E47" s="139">
        <v>4.38</v>
      </c>
      <c r="F47" s="139">
        <v>0</v>
      </c>
      <c r="G47" s="139"/>
      <c r="H47" s="139">
        <v>4.38</v>
      </c>
    </row>
    <row r="48" spans="1:8">
      <c r="A48" s="135" t="s">
        <v>174</v>
      </c>
      <c r="B48" s="121" t="s">
        <v>175</v>
      </c>
      <c r="C48" s="135" t="s">
        <v>13</v>
      </c>
      <c r="D48" s="139">
        <v>0</v>
      </c>
      <c r="E48" s="139">
        <v>262.61</v>
      </c>
      <c r="F48" s="139">
        <v>0</v>
      </c>
      <c r="G48" s="139"/>
      <c r="H48" s="139">
        <v>262.61</v>
      </c>
    </row>
    <row r="49" spans="1:8">
      <c r="A49" s="135" t="s">
        <v>176</v>
      </c>
      <c r="B49" s="121" t="s">
        <v>177</v>
      </c>
      <c r="C49" s="135">
        <v>67510</v>
      </c>
      <c r="D49" s="139">
        <v>0</v>
      </c>
      <c r="E49" s="139">
        <v>8.57</v>
      </c>
      <c r="F49" s="139">
        <v>0</v>
      </c>
      <c r="G49" s="139"/>
      <c r="H49" s="139">
        <v>8.57</v>
      </c>
    </row>
    <row r="50" spans="1:8">
      <c r="A50" s="135" t="s">
        <v>178</v>
      </c>
      <c r="B50" s="121" t="s">
        <v>179</v>
      </c>
      <c r="C50" s="135" t="s">
        <v>13</v>
      </c>
      <c r="D50" s="139">
        <v>0</v>
      </c>
      <c r="E50" s="139">
        <v>45.95</v>
      </c>
      <c r="F50" s="139">
        <v>0</v>
      </c>
      <c r="G50" s="139"/>
      <c r="H50" s="139">
        <v>45.95</v>
      </c>
    </row>
    <row r="51" spans="1:8">
      <c r="A51" s="135" t="s">
        <v>180</v>
      </c>
      <c r="B51" s="121" t="s">
        <v>181</v>
      </c>
      <c r="C51" s="135" t="s">
        <v>13</v>
      </c>
      <c r="D51" s="139">
        <v>0</v>
      </c>
      <c r="E51" s="139">
        <v>156.22</v>
      </c>
      <c r="F51" s="139">
        <v>0</v>
      </c>
      <c r="G51" s="139"/>
      <c r="H51" s="139">
        <v>156.22</v>
      </c>
    </row>
    <row r="52" spans="1:8">
      <c r="A52" s="135" t="s">
        <v>182</v>
      </c>
      <c r="B52" s="121" t="s">
        <v>183</v>
      </c>
      <c r="C52" s="135" t="s">
        <v>13</v>
      </c>
      <c r="D52" s="139">
        <v>0</v>
      </c>
      <c r="E52" s="139">
        <v>61.23</v>
      </c>
      <c r="F52" s="139">
        <v>0</v>
      </c>
      <c r="G52" s="139"/>
      <c r="H52" s="139">
        <v>61.23</v>
      </c>
    </row>
    <row r="53" spans="1:8">
      <c r="A53" s="135" t="s">
        <v>26</v>
      </c>
      <c r="B53" s="121" t="s">
        <v>27</v>
      </c>
      <c r="C53" s="135" t="s">
        <v>28</v>
      </c>
      <c r="D53" s="139">
        <v>0</v>
      </c>
      <c r="E53" s="139">
        <v>49.14</v>
      </c>
      <c r="F53" s="139">
        <v>546.02</v>
      </c>
      <c r="G53" s="139"/>
      <c r="H53" s="139">
        <v>595.16</v>
      </c>
    </row>
    <row r="54" spans="1:8">
      <c r="A54" s="135" t="s">
        <v>29</v>
      </c>
      <c r="B54" s="121" t="s">
        <v>30</v>
      </c>
      <c r="C54" s="135" t="s">
        <v>31</v>
      </c>
      <c r="D54" s="139">
        <v>0</v>
      </c>
      <c r="E54" s="139">
        <v>450</v>
      </c>
      <c r="F54" s="139">
        <v>0</v>
      </c>
      <c r="G54" s="139"/>
      <c r="H54" s="139">
        <v>450</v>
      </c>
    </row>
    <row r="55" spans="1:8">
      <c r="A55" s="135" t="s">
        <v>32</v>
      </c>
      <c r="B55" s="121" t="s">
        <v>33</v>
      </c>
      <c r="C55" s="135" t="s">
        <v>13</v>
      </c>
      <c r="D55" s="139">
        <v>0</v>
      </c>
      <c r="E55" s="139">
        <v>337.55</v>
      </c>
      <c r="F55" s="139">
        <v>0</v>
      </c>
      <c r="G55" s="139"/>
      <c r="H55" s="139">
        <v>337.55</v>
      </c>
    </row>
    <row r="56" spans="1:8">
      <c r="A56" s="135" t="s">
        <v>34</v>
      </c>
      <c r="B56" s="121" t="s">
        <v>35</v>
      </c>
      <c r="C56" s="135" t="s">
        <v>36</v>
      </c>
      <c r="D56" s="139">
        <v>0</v>
      </c>
      <c r="E56" s="139">
        <v>40</v>
      </c>
      <c r="F56" s="139">
        <v>360</v>
      </c>
      <c r="G56" s="139"/>
      <c r="H56" s="139">
        <v>400</v>
      </c>
    </row>
    <row r="57" spans="1:8">
      <c r="A57" s="135" t="s">
        <v>37</v>
      </c>
      <c r="B57" s="121" t="s">
        <v>38</v>
      </c>
      <c r="C57" s="135" t="s">
        <v>13</v>
      </c>
      <c r="D57" s="139">
        <v>67.51</v>
      </c>
      <c r="E57" s="139">
        <v>0</v>
      </c>
      <c r="F57" s="139"/>
      <c r="G57" s="139"/>
      <c r="H57" s="139">
        <v>67.51</v>
      </c>
    </row>
    <row r="58" s="133" customFormat="true" spans="1:8">
      <c r="A58" s="136" t="s">
        <v>39</v>
      </c>
      <c r="B58" s="137" t="s">
        <v>40</v>
      </c>
      <c r="C58" s="136" t="s">
        <v>41</v>
      </c>
      <c r="D58" s="138">
        <v>304.3</v>
      </c>
      <c r="E58" s="138">
        <v>355.72</v>
      </c>
      <c r="F58" s="138"/>
      <c r="G58" s="138"/>
      <c r="H58" s="138">
        <v>660.02</v>
      </c>
    </row>
    <row r="59" spans="1:8">
      <c r="A59" s="135">
        <v>1</v>
      </c>
      <c r="B59" s="121" t="s">
        <v>14</v>
      </c>
      <c r="C59" s="135" t="s">
        <v>41</v>
      </c>
      <c r="D59" s="139">
        <v>290.45</v>
      </c>
      <c r="E59" s="139">
        <v>0</v>
      </c>
      <c r="F59" s="139"/>
      <c r="G59" s="139"/>
      <c r="H59" s="139">
        <v>290.45</v>
      </c>
    </row>
    <row r="60" spans="1:8">
      <c r="A60" s="135">
        <v>2</v>
      </c>
      <c r="B60" s="121" t="s">
        <v>15</v>
      </c>
      <c r="C60" s="135" t="s">
        <v>41</v>
      </c>
      <c r="D60" s="139">
        <v>13.85</v>
      </c>
      <c r="E60" s="139">
        <v>0</v>
      </c>
      <c r="F60" s="139"/>
      <c r="G60" s="139"/>
      <c r="H60" s="139">
        <v>13.85</v>
      </c>
    </row>
    <row r="61" spans="1:8">
      <c r="A61" s="135" t="s">
        <v>16</v>
      </c>
      <c r="B61" s="121" t="s">
        <v>42</v>
      </c>
      <c r="C61" s="135" t="s">
        <v>41</v>
      </c>
      <c r="D61" s="139">
        <v>0</v>
      </c>
      <c r="E61" s="139">
        <v>320.2</v>
      </c>
      <c r="F61" s="139"/>
      <c r="G61" s="139"/>
      <c r="H61" s="139">
        <v>320.2</v>
      </c>
    </row>
    <row r="62" spans="1:8">
      <c r="A62" s="135" t="s">
        <v>18</v>
      </c>
      <c r="B62" s="121" t="s">
        <v>19</v>
      </c>
      <c r="C62" s="135" t="s">
        <v>41</v>
      </c>
      <c r="D62" s="139">
        <v>0</v>
      </c>
      <c r="E62" s="139">
        <v>8.71</v>
      </c>
      <c r="F62" s="139"/>
      <c r="G62" s="139"/>
      <c r="H62" s="139">
        <v>8.71</v>
      </c>
    </row>
    <row r="63" spans="1:8">
      <c r="A63" s="135" t="s">
        <v>120</v>
      </c>
      <c r="B63" s="121" t="s">
        <v>121</v>
      </c>
      <c r="C63" s="135" t="s">
        <v>41</v>
      </c>
      <c r="D63" s="139">
        <v>0</v>
      </c>
      <c r="E63" s="139">
        <v>0.67</v>
      </c>
      <c r="F63" s="139"/>
      <c r="G63" s="139"/>
      <c r="H63" s="139">
        <v>0.67</v>
      </c>
    </row>
    <row r="64" spans="1:8">
      <c r="A64" s="135" t="s">
        <v>122</v>
      </c>
      <c r="B64" s="121" t="s">
        <v>123</v>
      </c>
      <c r="C64" s="135" t="s">
        <v>41</v>
      </c>
      <c r="D64" s="139">
        <v>0</v>
      </c>
      <c r="E64" s="139">
        <v>8.04</v>
      </c>
      <c r="F64" s="139"/>
      <c r="G64" s="139"/>
      <c r="H64" s="139">
        <v>8.04</v>
      </c>
    </row>
    <row r="65" spans="1:8">
      <c r="A65" s="135" t="s">
        <v>20</v>
      </c>
      <c r="B65" s="121" t="s">
        <v>23</v>
      </c>
      <c r="C65" s="135" t="s">
        <v>41</v>
      </c>
      <c r="D65" s="139">
        <v>0</v>
      </c>
      <c r="E65" s="139">
        <v>9.96</v>
      </c>
      <c r="F65" s="139"/>
      <c r="G65" s="139"/>
      <c r="H65" s="139">
        <v>9.96</v>
      </c>
    </row>
    <row r="66" spans="1:8">
      <c r="A66" s="135" t="s">
        <v>124</v>
      </c>
      <c r="B66" s="121" t="s">
        <v>131</v>
      </c>
      <c r="C66" s="135" t="s">
        <v>41</v>
      </c>
      <c r="D66" s="139">
        <v>0</v>
      </c>
      <c r="E66" s="139">
        <v>9.96</v>
      </c>
      <c r="F66" s="139"/>
      <c r="G66" s="139"/>
      <c r="H66" s="139">
        <v>9.96</v>
      </c>
    </row>
    <row r="67" spans="1:8">
      <c r="A67" s="135" t="s">
        <v>22</v>
      </c>
      <c r="B67" s="121" t="s">
        <v>25</v>
      </c>
      <c r="C67" s="135" t="s">
        <v>41</v>
      </c>
      <c r="D67" s="139">
        <v>0</v>
      </c>
      <c r="E67" s="139">
        <v>15.35</v>
      </c>
      <c r="F67" s="139"/>
      <c r="G67" s="139"/>
      <c r="H67" s="139">
        <v>15.35</v>
      </c>
    </row>
    <row r="68" spans="1:8">
      <c r="A68" s="135" t="s">
        <v>128</v>
      </c>
      <c r="B68" s="121" t="s">
        <v>184</v>
      </c>
      <c r="C68" s="135" t="s">
        <v>41</v>
      </c>
      <c r="D68" s="139">
        <v>0</v>
      </c>
      <c r="E68" s="139">
        <v>4.71</v>
      </c>
      <c r="F68" s="139"/>
      <c r="G68" s="139"/>
      <c r="H68" s="139">
        <v>4.71</v>
      </c>
    </row>
    <row r="69" spans="1:8">
      <c r="A69" s="135" t="s">
        <v>130</v>
      </c>
      <c r="B69" s="121" t="s">
        <v>135</v>
      </c>
      <c r="C69" s="135" t="s">
        <v>41</v>
      </c>
      <c r="D69" s="139">
        <v>0</v>
      </c>
      <c r="E69" s="139">
        <v>0.82</v>
      </c>
      <c r="F69" s="139"/>
      <c r="G69" s="139"/>
      <c r="H69" s="139">
        <v>0.82</v>
      </c>
    </row>
    <row r="70" spans="1:8">
      <c r="A70" s="135" t="s">
        <v>185</v>
      </c>
      <c r="B70" s="121" t="s">
        <v>141</v>
      </c>
      <c r="C70" s="135" t="s">
        <v>41</v>
      </c>
      <c r="D70" s="139">
        <v>0</v>
      </c>
      <c r="E70" s="139">
        <v>3.86</v>
      </c>
      <c r="F70" s="139"/>
      <c r="G70" s="139"/>
      <c r="H70" s="139">
        <v>3.86</v>
      </c>
    </row>
    <row r="71" spans="1:8">
      <c r="A71" s="135" t="s">
        <v>186</v>
      </c>
      <c r="B71" s="121" t="s">
        <v>145</v>
      </c>
      <c r="C71" s="135" t="s">
        <v>41</v>
      </c>
      <c r="D71" s="139">
        <v>0</v>
      </c>
      <c r="E71" s="139">
        <v>2.03</v>
      </c>
      <c r="F71" s="139"/>
      <c r="G71" s="139"/>
      <c r="H71" s="139">
        <v>2.03</v>
      </c>
    </row>
    <row r="72" spans="1:8">
      <c r="A72" s="135" t="s">
        <v>187</v>
      </c>
      <c r="B72" s="121" t="s">
        <v>188</v>
      </c>
      <c r="C72" s="135" t="s">
        <v>41</v>
      </c>
      <c r="D72" s="139">
        <v>0</v>
      </c>
      <c r="E72" s="139">
        <v>0.62</v>
      </c>
      <c r="F72" s="139"/>
      <c r="G72" s="139"/>
      <c r="H72" s="139">
        <v>0.62</v>
      </c>
    </row>
    <row r="73" spans="1:8">
      <c r="A73" s="135" t="s">
        <v>189</v>
      </c>
      <c r="B73" s="121" t="s">
        <v>149</v>
      </c>
      <c r="C73" s="135" t="s">
        <v>41</v>
      </c>
      <c r="D73" s="139">
        <v>0</v>
      </c>
      <c r="E73" s="139">
        <v>1.01</v>
      </c>
      <c r="F73" s="139"/>
      <c r="G73" s="139"/>
      <c r="H73" s="139">
        <v>1.01</v>
      </c>
    </row>
    <row r="74" spans="1:8">
      <c r="A74" s="135" t="s">
        <v>190</v>
      </c>
      <c r="B74" s="121" t="s">
        <v>175</v>
      </c>
      <c r="C74" s="135" t="s">
        <v>41</v>
      </c>
      <c r="D74" s="139">
        <v>0</v>
      </c>
      <c r="E74" s="139">
        <v>2.3</v>
      </c>
      <c r="F74" s="139"/>
      <c r="G74" s="139"/>
      <c r="H74" s="139">
        <v>2.3</v>
      </c>
    </row>
    <row r="75" spans="1:8">
      <c r="A75" s="135" t="s">
        <v>24</v>
      </c>
      <c r="B75" s="121" t="s">
        <v>33</v>
      </c>
      <c r="C75" s="135" t="s">
        <v>41</v>
      </c>
      <c r="D75" s="139">
        <v>0</v>
      </c>
      <c r="E75" s="139">
        <v>1.5</v>
      </c>
      <c r="F75" s="139"/>
      <c r="G75" s="139"/>
      <c r="H75" s="139">
        <v>1.5</v>
      </c>
    </row>
    <row r="76" s="133" customFormat="true" spans="1:8">
      <c r="A76" s="136" t="s">
        <v>43</v>
      </c>
      <c r="B76" s="137" t="s">
        <v>44</v>
      </c>
      <c r="C76" s="136" t="s">
        <v>45</v>
      </c>
      <c r="D76" s="138">
        <v>31.83</v>
      </c>
      <c r="E76" s="138">
        <v>63.4</v>
      </c>
      <c r="F76" s="138"/>
      <c r="G76" s="138"/>
      <c r="H76" s="138">
        <v>95.23</v>
      </c>
    </row>
    <row r="77" spans="1:8">
      <c r="A77" s="135">
        <v>1</v>
      </c>
      <c r="B77" s="121" t="s">
        <v>14</v>
      </c>
      <c r="C77" s="135" t="s">
        <v>45</v>
      </c>
      <c r="D77" s="139">
        <v>25.8</v>
      </c>
      <c r="E77" s="139">
        <v>0</v>
      </c>
      <c r="F77" s="139"/>
      <c r="G77" s="139"/>
      <c r="H77" s="139">
        <v>25.8</v>
      </c>
    </row>
    <row r="78" spans="1:8">
      <c r="A78" s="135">
        <v>2</v>
      </c>
      <c r="B78" s="121" t="s">
        <v>15</v>
      </c>
      <c r="C78" s="135" t="s">
        <v>45</v>
      </c>
      <c r="D78" s="139">
        <v>6.03</v>
      </c>
      <c r="E78" s="139">
        <v>0</v>
      </c>
      <c r="F78" s="139"/>
      <c r="G78" s="139"/>
      <c r="H78" s="139">
        <v>6.03</v>
      </c>
    </row>
    <row r="79" spans="1:8">
      <c r="A79" s="135" t="s">
        <v>16</v>
      </c>
      <c r="B79" s="121" t="s">
        <v>17</v>
      </c>
      <c r="C79" s="135" t="s">
        <v>45</v>
      </c>
      <c r="D79" s="139">
        <v>0</v>
      </c>
      <c r="E79" s="139">
        <v>0.28</v>
      </c>
      <c r="F79" s="139"/>
      <c r="G79" s="139"/>
      <c r="H79" s="139">
        <v>0.28</v>
      </c>
    </row>
    <row r="80" spans="1:8">
      <c r="A80" s="135" t="s">
        <v>18</v>
      </c>
      <c r="B80" s="121" t="s">
        <v>19</v>
      </c>
      <c r="C80" s="135" t="s">
        <v>45</v>
      </c>
      <c r="D80" s="139">
        <v>0</v>
      </c>
      <c r="E80" s="139">
        <v>1.45</v>
      </c>
      <c r="F80" s="139"/>
      <c r="G80" s="139"/>
      <c r="H80" s="139">
        <v>1.45</v>
      </c>
    </row>
    <row r="81" spans="1:8">
      <c r="A81" s="135" t="s">
        <v>120</v>
      </c>
      <c r="B81" s="121" t="s">
        <v>121</v>
      </c>
      <c r="C81" s="135" t="s">
        <v>45</v>
      </c>
      <c r="D81" s="139">
        <v>0</v>
      </c>
      <c r="E81" s="139">
        <v>0.33</v>
      </c>
      <c r="F81" s="139"/>
      <c r="G81" s="139"/>
      <c r="H81" s="139">
        <v>0.33</v>
      </c>
    </row>
    <row r="82" spans="1:8">
      <c r="A82" s="135" t="s">
        <v>122</v>
      </c>
      <c r="B82" s="121" t="s">
        <v>123</v>
      </c>
      <c r="C82" s="135" t="s">
        <v>45</v>
      </c>
      <c r="D82" s="139">
        <v>0</v>
      </c>
      <c r="E82" s="139">
        <v>1.12</v>
      </c>
      <c r="F82" s="139"/>
      <c r="G82" s="139"/>
      <c r="H82" s="139">
        <v>1.12</v>
      </c>
    </row>
    <row r="83" spans="1:8">
      <c r="A83" s="135" t="s">
        <v>20</v>
      </c>
      <c r="B83" s="121" t="s">
        <v>21</v>
      </c>
      <c r="C83" s="135" t="s">
        <v>45</v>
      </c>
      <c r="D83" s="139">
        <v>0</v>
      </c>
      <c r="E83" s="139">
        <v>54.17</v>
      </c>
      <c r="F83" s="139"/>
      <c r="G83" s="139"/>
      <c r="H83" s="139">
        <v>54.17</v>
      </c>
    </row>
    <row r="84" spans="1:8">
      <c r="A84" s="135" t="s">
        <v>124</v>
      </c>
      <c r="B84" s="121" t="s">
        <v>127</v>
      </c>
      <c r="C84" s="135" t="s">
        <v>45</v>
      </c>
      <c r="D84" s="139">
        <v>0</v>
      </c>
      <c r="E84" s="139">
        <v>54.17</v>
      </c>
      <c r="F84" s="139"/>
      <c r="G84" s="139"/>
      <c r="H84" s="139">
        <v>54.17</v>
      </c>
    </row>
    <row r="85" spans="1:8">
      <c r="A85" s="135" t="s">
        <v>22</v>
      </c>
      <c r="B85" s="121" t="s">
        <v>23</v>
      </c>
      <c r="C85" s="135" t="s">
        <v>45</v>
      </c>
      <c r="D85" s="139">
        <v>0</v>
      </c>
      <c r="E85" s="139">
        <v>2.83</v>
      </c>
      <c r="F85" s="139"/>
      <c r="G85" s="139"/>
      <c r="H85" s="139">
        <v>2.83</v>
      </c>
    </row>
    <row r="86" spans="1:8">
      <c r="A86" s="135" t="s">
        <v>128</v>
      </c>
      <c r="B86" s="121" t="s">
        <v>131</v>
      </c>
      <c r="C86" s="135" t="s">
        <v>45</v>
      </c>
      <c r="D86" s="139">
        <v>0</v>
      </c>
      <c r="E86" s="139">
        <v>2.83</v>
      </c>
      <c r="F86" s="139"/>
      <c r="G86" s="139"/>
      <c r="H86" s="139">
        <v>2.83</v>
      </c>
    </row>
    <row r="87" spans="1:8">
      <c r="A87" s="135" t="s">
        <v>24</v>
      </c>
      <c r="B87" s="121" t="s">
        <v>25</v>
      </c>
      <c r="C87" s="135" t="s">
        <v>45</v>
      </c>
      <c r="D87" s="139">
        <v>0</v>
      </c>
      <c r="E87" s="139">
        <v>4.37</v>
      </c>
      <c r="F87" s="139"/>
      <c r="G87" s="139"/>
      <c r="H87" s="139">
        <v>4.37</v>
      </c>
    </row>
    <row r="88" spans="1:8">
      <c r="A88" s="135" t="s">
        <v>132</v>
      </c>
      <c r="B88" s="121" t="s">
        <v>141</v>
      </c>
      <c r="C88" s="135" t="s">
        <v>45</v>
      </c>
      <c r="D88" s="139">
        <v>0</v>
      </c>
      <c r="E88" s="139">
        <v>0.37</v>
      </c>
      <c r="F88" s="139"/>
      <c r="G88" s="139"/>
      <c r="H88" s="139">
        <v>0.37</v>
      </c>
    </row>
    <row r="89" spans="1:8">
      <c r="A89" s="135" t="s">
        <v>134</v>
      </c>
      <c r="B89" s="121" t="s">
        <v>145</v>
      </c>
      <c r="C89" s="135" t="s">
        <v>45</v>
      </c>
      <c r="D89" s="139">
        <v>0</v>
      </c>
      <c r="E89" s="139">
        <v>2.03</v>
      </c>
      <c r="F89" s="139"/>
      <c r="G89" s="139"/>
      <c r="H89" s="139">
        <v>2.03</v>
      </c>
    </row>
    <row r="90" spans="1:8">
      <c r="A90" s="135" t="s">
        <v>136</v>
      </c>
      <c r="B90" s="121" t="s">
        <v>188</v>
      </c>
      <c r="C90" s="135" t="s">
        <v>45</v>
      </c>
      <c r="D90" s="139">
        <v>0</v>
      </c>
      <c r="E90" s="139">
        <v>0.48</v>
      </c>
      <c r="F90" s="139"/>
      <c r="G90" s="139"/>
      <c r="H90" s="139">
        <v>0.48</v>
      </c>
    </row>
    <row r="91" spans="1:8">
      <c r="A91" s="135" t="s">
        <v>138</v>
      </c>
      <c r="B91" s="121" t="s">
        <v>149</v>
      </c>
      <c r="C91" s="135" t="s">
        <v>45</v>
      </c>
      <c r="D91" s="139">
        <v>0</v>
      </c>
      <c r="E91" s="139">
        <v>0.72</v>
      </c>
      <c r="F91" s="139"/>
      <c r="G91" s="139"/>
      <c r="H91" s="139">
        <v>0.72</v>
      </c>
    </row>
    <row r="92" spans="1:8">
      <c r="A92" s="135" t="s">
        <v>140</v>
      </c>
      <c r="B92" s="121" t="s">
        <v>175</v>
      </c>
      <c r="C92" s="135" t="s">
        <v>45</v>
      </c>
      <c r="D92" s="139">
        <v>0</v>
      </c>
      <c r="E92" s="139">
        <v>0.77</v>
      </c>
      <c r="F92" s="139"/>
      <c r="G92" s="139"/>
      <c r="H92" s="139">
        <v>0.77</v>
      </c>
    </row>
    <row r="93" spans="1:8">
      <c r="A93" s="135" t="s">
        <v>26</v>
      </c>
      <c r="B93" s="121" t="s">
        <v>33</v>
      </c>
      <c r="C93" s="135" t="s">
        <v>45</v>
      </c>
      <c r="D93" s="139">
        <v>0</v>
      </c>
      <c r="E93" s="139">
        <v>0.3</v>
      </c>
      <c r="F93" s="139"/>
      <c r="G93" s="139"/>
      <c r="H93" s="139">
        <v>0.3</v>
      </c>
    </row>
    <row r="94" s="133" customFormat="true" spans="1:8">
      <c r="A94" s="136" t="s">
        <v>46</v>
      </c>
      <c r="B94" s="137" t="s">
        <v>47</v>
      </c>
      <c r="C94" s="136"/>
      <c r="D94" s="138">
        <v>158.04</v>
      </c>
      <c r="E94" s="138">
        <v>903.68</v>
      </c>
      <c r="F94" s="138"/>
      <c r="G94" s="138"/>
      <c r="H94" s="138">
        <v>1061.72</v>
      </c>
    </row>
    <row r="95" spans="1:8">
      <c r="A95" s="135" t="s">
        <v>48</v>
      </c>
      <c r="B95" s="121" t="s">
        <v>49</v>
      </c>
      <c r="C95" s="135" t="s">
        <v>50</v>
      </c>
      <c r="D95" s="139">
        <v>158.04</v>
      </c>
      <c r="E95" s="139">
        <v>0</v>
      </c>
      <c r="F95" s="139"/>
      <c r="G95" s="139"/>
      <c r="H95" s="139">
        <v>158.04</v>
      </c>
    </row>
    <row r="96" spans="1:8">
      <c r="A96" s="135" t="s">
        <v>51</v>
      </c>
      <c r="B96" s="121" t="s">
        <v>52</v>
      </c>
      <c r="C96" s="135"/>
      <c r="D96" s="139">
        <v>0</v>
      </c>
      <c r="E96" s="139">
        <v>328.06</v>
      </c>
      <c r="F96" s="139"/>
      <c r="G96" s="139"/>
      <c r="H96" s="139">
        <v>328.06</v>
      </c>
    </row>
    <row r="97" spans="1:8">
      <c r="A97" s="135" t="s">
        <v>16</v>
      </c>
      <c r="B97" s="121" t="s">
        <v>53</v>
      </c>
      <c r="C97" s="135"/>
      <c r="D97" s="139">
        <v>0</v>
      </c>
      <c r="E97" s="139">
        <v>394.71</v>
      </c>
      <c r="F97" s="139"/>
      <c r="G97" s="139"/>
      <c r="H97" s="139">
        <v>394.71</v>
      </c>
    </row>
    <row r="98" spans="1:8">
      <c r="A98" s="135" t="s">
        <v>18</v>
      </c>
      <c r="B98" s="121" t="s">
        <v>54</v>
      </c>
      <c r="C98" s="135"/>
      <c r="D98" s="139">
        <v>0</v>
      </c>
      <c r="E98" s="139">
        <v>180.91</v>
      </c>
      <c r="F98" s="139"/>
      <c r="G98" s="139"/>
      <c r="H98" s="139">
        <v>180.91</v>
      </c>
    </row>
    <row r="99" s="133" customFormat="true" spans="1:8">
      <c r="A99" s="136" t="s">
        <v>55</v>
      </c>
      <c r="B99" s="137" t="s">
        <v>56</v>
      </c>
      <c r="C99" s="136"/>
      <c r="D99" s="138">
        <v>353.74</v>
      </c>
      <c r="E99" s="138">
        <v>2338.58</v>
      </c>
      <c r="F99" s="138"/>
      <c r="G99" s="138"/>
      <c r="H99" s="138">
        <v>2692.32</v>
      </c>
    </row>
    <row r="100" spans="1:8">
      <c r="A100" s="135" t="s">
        <v>48</v>
      </c>
      <c r="B100" s="121" t="s">
        <v>57</v>
      </c>
      <c r="C100" s="135"/>
      <c r="D100" s="139">
        <v>14.74</v>
      </c>
      <c r="E100" s="139">
        <v>0</v>
      </c>
      <c r="F100" s="139"/>
      <c r="G100" s="139"/>
      <c r="H100" s="139">
        <v>14.74</v>
      </c>
    </row>
    <row r="101" spans="1:8">
      <c r="A101" s="135" t="s">
        <v>51</v>
      </c>
      <c r="B101" s="121" t="s">
        <v>58</v>
      </c>
      <c r="C101" s="135"/>
      <c r="D101" s="139">
        <v>0</v>
      </c>
      <c r="E101" s="139">
        <v>1088.58</v>
      </c>
      <c r="F101" s="139"/>
      <c r="G101" s="139"/>
      <c r="H101" s="139">
        <v>1088.58</v>
      </c>
    </row>
    <row r="102" spans="1:8">
      <c r="A102" s="135" t="s">
        <v>191</v>
      </c>
      <c r="B102" s="121" t="s">
        <v>192</v>
      </c>
      <c r="C102" s="135"/>
      <c r="D102" s="139">
        <v>0</v>
      </c>
      <c r="E102" s="139">
        <v>700.74</v>
      </c>
      <c r="F102" s="139"/>
      <c r="G102" s="139"/>
      <c r="H102" s="139">
        <v>700.74</v>
      </c>
    </row>
    <row r="103" spans="1:8">
      <c r="A103" s="135" t="s">
        <v>193</v>
      </c>
      <c r="B103" s="121" t="s">
        <v>127</v>
      </c>
      <c r="C103" s="135"/>
      <c r="D103" s="139">
        <v>0</v>
      </c>
      <c r="E103" s="139">
        <v>5.76</v>
      </c>
      <c r="F103" s="139"/>
      <c r="G103" s="139"/>
      <c r="H103" s="139">
        <v>5.76</v>
      </c>
    </row>
    <row r="104" spans="1:8">
      <c r="A104" s="135" t="s">
        <v>114</v>
      </c>
      <c r="B104" s="121" t="s">
        <v>125</v>
      </c>
      <c r="C104" s="135"/>
      <c r="D104" s="139">
        <v>0</v>
      </c>
      <c r="E104" s="139">
        <v>21.5</v>
      </c>
      <c r="F104" s="139"/>
      <c r="G104" s="139"/>
      <c r="H104" s="139">
        <v>21.5</v>
      </c>
    </row>
    <row r="105" spans="1:8">
      <c r="A105" s="135" t="s">
        <v>194</v>
      </c>
      <c r="B105" s="121" t="s">
        <v>195</v>
      </c>
      <c r="C105" s="135"/>
      <c r="D105" s="139">
        <v>0</v>
      </c>
      <c r="E105" s="139">
        <v>262.66</v>
      </c>
      <c r="F105" s="139"/>
      <c r="G105" s="139"/>
      <c r="H105" s="139">
        <v>262.66</v>
      </c>
    </row>
    <row r="106" spans="1:8">
      <c r="A106" s="135" t="s">
        <v>196</v>
      </c>
      <c r="B106" s="121" t="s">
        <v>197</v>
      </c>
      <c r="C106" s="135"/>
      <c r="D106" s="139">
        <v>0</v>
      </c>
      <c r="E106" s="139">
        <v>97.92</v>
      </c>
      <c r="F106" s="139"/>
      <c r="G106" s="139"/>
      <c r="H106" s="139">
        <v>97.92</v>
      </c>
    </row>
    <row r="107" spans="1:8">
      <c r="A107" s="135" t="s">
        <v>16</v>
      </c>
      <c r="B107" s="121" t="s">
        <v>59</v>
      </c>
      <c r="C107" s="135"/>
      <c r="D107" s="139">
        <v>230.46</v>
      </c>
      <c r="E107" s="139">
        <v>0</v>
      </c>
      <c r="F107" s="139"/>
      <c r="G107" s="139"/>
      <c r="H107" s="139">
        <v>230.46</v>
      </c>
    </row>
    <row r="108" spans="1:8">
      <c r="A108" s="135" t="s">
        <v>18</v>
      </c>
      <c r="B108" s="121" t="s">
        <v>60</v>
      </c>
      <c r="C108" s="135"/>
      <c r="D108" s="139">
        <v>73.54</v>
      </c>
      <c r="E108" s="139">
        <v>0</v>
      </c>
      <c r="F108" s="139"/>
      <c r="G108" s="139"/>
      <c r="H108" s="139">
        <v>73.54</v>
      </c>
    </row>
    <row r="109" spans="1:8">
      <c r="A109" s="135" t="s">
        <v>22</v>
      </c>
      <c r="B109" s="121" t="s">
        <v>61</v>
      </c>
      <c r="C109" s="135"/>
      <c r="D109" s="139">
        <v>0</v>
      </c>
      <c r="E109" s="139">
        <v>50</v>
      </c>
      <c r="F109" s="139"/>
      <c r="G109" s="139"/>
      <c r="H109" s="139">
        <v>50</v>
      </c>
    </row>
    <row r="110" spans="1:8">
      <c r="A110" s="135" t="s">
        <v>24</v>
      </c>
      <c r="B110" s="121" t="s">
        <v>62</v>
      </c>
      <c r="C110" s="135"/>
      <c r="D110" s="139">
        <v>35</v>
      </c>
      <c r="E110" s="139">
        <v>0</v>
      </c>
      <c r="F110" s="139"/>
      <c r="G110" s="139"/>
      <c r="H110" s="139">
        <v>35</v>
      </c>
    </row>
    <row r="111" spans="1:8">
      <c r="A111" s="135" t="s">
        <v>26</v>
      </c>
      <c r="B111" s="121" t="s">
        <v>63</v>
      </c>
      <c r="C111" s="135"/>
      <c r="D111" s="139">
        <v>0</v>
      </c>
      <c r="E111" s="139">
        <v>1200</v>
      </c>
      <c r="F111" s="139"/>
      <c r="G111" s="139"/>
      <c r="H111" s="139">
        <v>1200</v>
      </c>
    </row>
    <row r="112" s="133" customFormat="true" spans="1:8">
      <c r="A112" s="136" t="s">
        <v>64</v>
      </c>
      <c r="B112" s="137" t="s">
        <v>65</v>
      </c>
      <c r="C112" s="136"/>
      <c r="D112" s="138"/>
      <c r="E112" s="138"/>
      <c r="F112" s="138"/>
      <c r="G112" s="138">
        <v>3933.48</v>
      </c>
      <c r="H112" s="138">
        <v>3933.48</v>
      </c>
    </row>
    <row r="113" spans="1:8">
      <c r="A113" s="135">
        <v>1</v>
      </c>
      <c r="B113" s="121" t="s">
        <v>66</v>
      </c>
      <c r="C113" s="135"/>
      <c r="D113" s="139"/>
      <c r="E113" s="139"/>
      <c r="F113" s="139"/>
      <c r="G113" s="139">
        <v>27.8</v>
      </c>
      <c r="H113" s="139">
        <v>27.8</v>
      </c>
    </row>
    <row r="114" spans="1:8">
      <c r="A114" s="135">
        <v>2</v>
      </c>
      <c r="B114" s="121" t="s">
        <v>67</v>
      </c>
      <c r="C114" s="135"/>
      <c r="D114" s="139"/>
      <c r="E114" s="139"/>
      <c r="F114" s="139"/>
      <c r="G114" s="139">
        <v>1032.35</v>
      </c>
      <c r="H114" s="139">
        <v>1032.35</v>
      </c>
    </row>
    <row r="115" spans="1:8">
      <c r="A115" s="135">
        <v>3</v>
      </c>
      <c r="B115" s="121" t="s">
        <v>68</v>
      </c>
      <c r="C115" s="135"/>
      <c r="D115" s="139"/>
      <c r="E115" s="139"/>
      <c r="F115" s="139"/>
      <c r="G115" s="139">
        <v>14.9</v>
      </c>
      <c r="H115" s="139">
        <v>14.9</v>
      </c>
    </row>
    <row r="116" spans="1:8">
      <c r="A116" s="135">
        <v>4</v>
      </c>
      <c r="B116" s="121" t="s">
        <v>69</v>
      </c>
      <c r="C116" s="135"/>
      <c r="D116" s="139"/>
      <c r="E116" s="139"/>
      <c r="F116" s="139"/>
      <c r="G116" s="139">
        <v>29.6</v>
      </c>
      <c r="H116" s="139">
        <v>29.6</v>
      </c>
    </row>
    <row r="117" spans="1:8">
      <c r="A117" s="135">
        <v>5</v>
      </c>
      <c r="B117" s="121" t="s">
        <v>70</v>
      </c>
      <c r="C117" s="135"/>
      <c r="D117" s="139"/>
      <c r="E117" s="139"/>
      <c r="F117" s="139"/>
      <c r="G117" s="139">
        <v>61.81</v>
      </c>
      <c r="H117" s="139">
        <v>61.81</v>
      </c>
    </row>
    <row r="118" spans="1:8">
      <c r="A118" s="135">
        <v>5.1</v>
      </c>
      <c r="B118" s="121" t="s">
        <v>198</v>
      </c>
      <c r="C118" s="135"/>
      <c r="D118" s="139"/>
      <c r="E118" s="139"/>
      <c r="F118" s="139"/>
      <c r="G118" s="139">
        <v>47.78</v>
      </c>
      <c r="H118" s="139">
        <v>47.78</v>
      </c>
    </row>
    <row r="119" spans="1:8">
      <c r="A119" s="135">
        <v>5.2</v>
      </c>
      <c r="B119" s="121" t="s">
        <v>199</v>
      </c>
      <c r="C119" s="135"/>
      <c r="D119" s="139"/>
      <c r="E119" s="139"/>
      <c r="F119" s="139"/>
      <c r="G119" s="139">
        <v>8.46</v>
      </c>
      <c r="H119" s="139">
        <v>8.46</v>
      </c>
    </row>
    <row r="120" spans="1:8">
      <c r="A120" s="135">
        <v>5.3</v>
      </c>
      <c r="B120" s="121" t="s">
        <v>200</v>
      </c>
      <c r="C120" s="135"/>
      <c r="D120" s="139"/>
      <c r="E120" s="139"/>
      <c r="F120" s="139"/>
      <c r="G120" s="139">
        <v>5.57</v>
      </c>
      <c r="H120" s="139">
        <v>5.57</v>
      </c>
    </row>
    <row r="121" spans="1:8">
      <c r="A121" s="135">
        <v>6</v>
      </c>
      <c r="B121" s="121" t="s">
        <v>71</v>
      </c>
      <c r="C121" s="135"/>
      <c r="D121" s="139"/>
      <c r="E121" s="139"/>
      <c r="F121" s="139"/>
      <c r="G121" s="139">
        <v>20.43</v>
      </c>
      <c r="H121" s="139">
        <v>20.43</v>
      </c>
    </row>
    <row r="122" spans="1:8">
      <c r="A122" s="135">
        <v>7</v>
      </c>
      <c r="B122" s="121" t="s">
        <v>72</v>
      </c>
      <c r="C122" s="135"/>
      <c r="D122" s="139"/>
      <c r="E122" s="139"/>
      <c r="F122" s="139"/>
      <c r="G122" s="139">
        <v>469.53</v>
      </c>
      <c r="H122" s="139">
        <v>469.53</v>
      </c>
    </row>
    <row r="123" spans="1:8">
      <c r="A123" s="135">
        <v>8</v>
      </c>
      <c r="B123" s="121" t="s">
        <v>73</v>
      </c>
      <c r="C123" s="135"/>
      <c r="D123" s="139"/>
      <c r="E123" s="139"/>
      <c r="F123" s="139"/>
      <c r="G123" s="139">
        <v>30</v>
      </c>
      <c r="H123" s="139">
        <v>30</v>
      </c>
    </row>
    <row r="124" spans="1:8">
      <c r="A124" s="135">
        <v>9</v>
      </c>
      <c r="B124" s="121" t="s">
        <v>74</v>
      </c>
      <c r="C124" s="135"/>
      <c r="D124" s="139"/>
      <c r="E124" s="139"/>
      <c r="F124" s="139"/>
      <c r="G124" s="139">
        <v>254.09</v>
      </c>
      <c r="H124" s="139">
        <v>254.09</v>
      </c>
    </row>
    <row r="125" spans="1:8">
      <c r="A125" s="135">
        <v>10</v>
      </c>
      <c r="B125" s="121" t="s">
        <v>75</v>
      </c>
      <c r="C125" s="135"/>
      <c r="D125" s="139"/>
      <c r="E125" s="139"/>
      <c r="F125" s="139"/>
      <c r="G125" s="139">
        <v>100.16</v>
      </c>
      <c r="H125" s="139">
        <v>100.16</v>
      </c>
    </row>
    <row r="126" spans="1:8">
      <c r="A126" s="135">
        <v>11</v>
      </c>
      <c r="B126" s="121" t="s">
        <v>201</v>
      </c>
      <c r="C126" s="135"/>
      <c r="D126" s="139"/>
      <c r="E126" s="139"/>
      <c r="F126" s="139"/>
      <c r="G126" s="139">
        <v>0</v>
      </c>
      <c r="H126" s="139">
        <v>0</v>
      </c>
    </row>
    <row r="127" spans="1:8">
      <c r="A127" s="135">
        <v>12</v>
      </c>
      <c r="B127" s="121" t="s">
        <v>76</v>
      </c>
      <c r="C127" s="135"/>
      <c r="D127" s="139"/>
      <c r="E127" s="139"/>
      <c r="F127" s="139"/>
      <c r="G127" s="139">
        <v>225.37</v>
      </c>
      <c r="H127" s="139">
        <v>225.37</v>
      </c>
    </row>
    <row r="128" spans="1:8">
      <c r="A128" s="135">
        <v>13</v>
      </c>
      <c r="B128" s="121" t="s">
        <v>77</v>
      </c>
      <c r="C128" s="135"/>
      <c r="D128" s="139"/>
      <c r="E128" s="139"/>
      <c r="F128" s="139"/>
      <c r="G128" s="139">
        <v>42.99</v>
      </c>
      <c r="H128" s="139">
        <v>42.99</v>
      </c>
    </row>
    <row r="129" spans="1:8">
      <c r="A129" s="135">
        <v>14</v>
      </c>
      <c r="B129" s="121" t="s">
        <v>202</v>
      </c>
      <c r="C129" s="135"/>
      <c r="D129" s="139"/>
      <c r="E129" s="139"/>
      <c r="F129" s="139"/>
      <c r="G129" s="139">
        <v>0</v>
      </c>
      <c r="H129" s="139">
        <v>0</v>
      </c>
    </row>
    <row r="130" spans="1:8">
      <c r="A130" s="135">
        <v>15</v>
      </c>
      <c r="B130" s="121" t="s">
        <v>78</v>
      </c>
      <c r="C130" s="135"/>
      <c r="D130" s="139"/>
      <c r="E130" s="139"/>
      <c r="F130" s="139"/>
      <c r="G130" s="139">
        <v>226.8</v>
      </c>
      <c r="H130" s="139">
        <v>226.8</v>
      </c>
    </row>
    <row r="131" spans="1:8">
      <c r="A131" s="135">
        <v>16</v>
      </c>
      <c r="B131" s="121" t="s">
        <v>79</v>
      </c>
      <c r="C131" s="135"/>
      <c r="D131" s="139"/>
      <c r="E131" s="139"/>
      <c r="F131" s="139"/>
      <c r="G131" s="139">
        <v>254.51</v>
      </c>
      <c r="H131" s="139">
        <v>254.51</v>
      </c>
    </row>
    <row r="132" spans="1:8">
      <c r="A132" s="135">
        <v>17</v>
      </c>
      <c r="B132" s="121" t="s">
        <v>80</v>
      </c>
      <c r="C132" s="135"/>
      <c r="D132" s="139"/>
      <c r="E132" s="139"/>
      <c r="F132" s="139"/>
      <c r="G132" s="139">
        <v>120</v>
      </c>
      <c r="H132" s="139">
        <v>120</v>
      </c>
    </row>
    <row r="133" spans="1:8">
      <c r="A133" s="135">
        <v>18</v>
      </c>
      <c r="B133" s="121" t="s">
        <v>81</v>
      </c>
      <c r="C133" s="135"/>
      <c r="D133" s="139"/>
      <c r="E133" s="139"/>
      <c r="F133" s="139"/>
      <c r="G133" s="139">
        <v>6.6</v>
      </c>
      <c r="H133" s="139">
        <v>6.6</v>
      </c>
    </row>
    <row r="134" spans="1:8">
      <c r="A134" s="135">
        <v>19</v>
      </c>
      <c r="B134" s="121" t="s">
        <v>82</v>
      </c>
      <c r="C134" s="135"/>
      <c r="D134" s="139"/>
      <c r="E134" s="139"/>
      <c r="F134" s="139"/>
      <c r="G134" s="139">
        <v>7.9</v>
      </c>
      <c r="H134" s="139">
        <v>7.9</v>
      </c>
    </row>
    <row r="135" spans="1:8">
      <c r="A135" s="135">
        <v>20</v>
      </c>
      <c r="B135" s="121" t="s">
        <v>83</v>
      </c>
      <c r="C135" s="135"/>
      <c r="D135" s="139"/>
      <c r="E135" s="139"/>
      <c r="F135" s="139"/>
      <c r="G135" s="139">
        <v>8</v>
      </c>
      <c r="H135" s="139">
        <v>8</v>
      </c>
    </row>
    <row r="136" spans="1:8">
      <c r="A136" s="135">
        <v>21</v>
      </c>
      <c r="B136" s="121" t="s">
        <v>84</v>
      </c>
      <c r="C136" s="135"/>
      <c r="D136" s="139"/>
      <c r="E136" s="139"/>
      <c r="F136" s="139"/>
      <c r="G136" s="139">
        <v>43.44</v>
      </c>
      <c r="H136" s="139">
        <v>43.44</v>
      </c>
    </row>
    <row r="137" spans="1:8">
      <c r="A137" s="135">
        <v>22</v>
      </c>
      <c r="B137" s="121" t="s">
        <v>85</v>
      </c>
      <c r="C137" s="135"/>
      <c r="D137" s="139"/>
      <c r="E137" s="139"/>
      <c r="F137" s="139"/>
      <c r="G137" s="139">
        <v>144.79</v>
      </c>
      <c r="H137" s="139">
        <v>144.79</v>
      </c>
    </row>
    <row r="138" spans="1:8">
      <c r="A138" s="135">
        <v>23</v>
      </c>
      <c r="B138" s="121" t="s">
        <v>86</v>
      </c>
      <c r="C138" s="135"/>
      <c r="D138" s="139"/>
      <c r="E138" s="139"/>
      <c r="F138" s="139"/>
      <c r="G138" s="139">
        <v>20</v>
      </c>
      <c r="H138" s="139">
        <v>20</v>
      </c>
    </row>
    <row r="139" spans="1:8">
      <c r="A139" s="135">
        <v>24</v>
      </c>
      <c r="B139" s="121" t="s">
        <v>87</v>
      </c>
      <c r="C139" s="135"/>
      <c r="D139" s="139"/>
      <c r="E139" s="139"/>
      <c r="F139" s="139"/>
      <c r="G139" s="139">
        <v>10</v>
      </c>
      <c r="H139" s="139">
        <v>10</v>
      </c>
    </row>
    <row r="140" spans="1:8">
      <c r="A140" s="135">
        <v>25</v>
      </c>
      <c r="B140" s="121" t="s">
        <v>88</v>
      </c>
      <c r="C140" s="135"/>
      <c r="D140" s="139"/>
      <c r="E140" s="139"/>
      <c r="F140" s="139"/>
      <c r="G140" s="139">
        <v>64</v>
      </c>
      <c r="H140" s="139">
        <v>64</v>
      </c>
    </row>
    <row r="141" spans="1:8">
      <c r="A141" s="135">
        <v>26</v>
      </c>
      <c r="B141" s="121" t="s">
        <v>89</v>
      </c>
      <c r="C141" s="135"/>
      <c r="D141" s="139"/>
      <c r="E141" s="139"/>
      <c r="F141" s="139"/>
      <c r="G141" s="139">
        <v>702.81</v>
      </c>
      <c r="H141" s="139">
        <v>702.81</v>
      </c>
    </row>
    <row r="142" spans="1:8">
      <c r="A142" s="135">
        <v>27</v>
      </c>
      <c r="B142" s="121" t="s">
        <v>90</v>
      </c>
      <c r="C142" s="135"/>
      <c r="D142" s="139"/>
      <c r="E142" s="139"/>
      <c r="F142" s="139"/>
      <c r="G142" s="139">
        <v>15</v>
      </c>
      <c r="H142" s="139">
        <v>15</v>
      </c>
    </row>
    <row r="143" spans="1:8">
      <c r="A143" s="135">
        <v>28</v>
      </c>
      <c r="B143" s="121" t="s">
        <v>91</v>
      </c>
      <c r="C143" s="135"/>
      <c r="D143" s="139"/>
      <c r="E143" s="139"/>
      <c r="F143" s="139"/>
      <c r="G143" s="139">
        <v>0.6</v>
      </c>
      <c r="H143" s="139">
        <v>0.6</v>
      </c>
    </row>
    <row r="144" s="133" customFormat="true" spans="1:8">
      <c r="A144" s="136" t="s">
        <v>92</v>
      </c>
      <c r="B144" s="137" t="s">
        <v>93</v>
      </c>
      <c r="C144" s="136"/>
      <c r="D144" s="138"/>
      <c r="E144" s="138"/>
      <c r="F144" s="138"/>
      <c r="G144" s="138">
        <v>1932.45</v>
      </c>
      <c r="H144" s="138">
        <v>1932.45</v>
      </c>
    </row>
    <row r="145" spans="1:8">
      <c r="A145" s="135">
        <v>1</v>
      </c>
      <c r="B145" s="121" t="s">
        <v>94</v>
      </c>
      <c r="C145" s="135"/>
      <c r="D145" s="139"/>
      <c r="E145" s="139"/>
      <c r="F145" s="139"/>
      <c r="G145" s="139">
        <v>1932.45</v>
      </c>
      <c r="H145" s="139">
        <v>1932.45</v>
      </c>
    </row>
    <row r="146" s="133" customFormat="true" spans="1:8">
      <c r="A146" s="136" t="s">
        <v>95</v>
      </c>
      <c r="B146" s="137" t="s">
        <v>96</v>
      </c>
      <c r="C146" s="136"/>
      <c r="D146" s="138"/>
      <c r="E146" s="138"/>
      <c r="F146" s="138"/>
      <c r="G146" s="138">
        <v>1800</v>
      </c>
      <c r="H146" s="138">
        <v>1800</v>
      </c>
    </row>
    <row r="147" s="133" customFormat="true" spans="1:8">
      <c r="A147" s="136" t="s">
        <v>97</v>
      </c>
      <c r="B147" s="137" t="s">
        <v>98</v>
      </c>
      <c r="C147" s="136"/>
      <c r="D147" s="138"/>
      <c r="E147" s="138"/>
      <c r="F147" s="138"/>
      <c r="G147" s="138">
        <v>2352</v>
      </c>
      <c r="H147" s="138">
        <v>2352</v>
      </c>
    </row>
    <row r="148" s="133" customFormat="true" spans="1:8">
      <c r="A148" s="136" t="s">
        <v>99</v>
      </c>
      <c r="B148" s="137" t="s">
        <v>100</v>
      </c>
      <c r="C148" s="136">
        <v>0</v>
      </c>
      <c r="D148" s="138">
        <v>29179.93</v>
      </c>
      <c r="E148" s="138">
        <v>19995.52</v>
      </c>
      <c r="F148" s="138">
        <v>906.02</v>
      </c>
      <c r="G148" s="138">
        <v>10017.93</v>
      </c>
      <c r="H148" s="138">
        <v>60099.4</v>
      </c>
    </row>
  </sheetData>
  <mergeCells count="1">
    <mergeCell ref="A1:H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8"/>
  <sheetViews>
    <sheetView workbookViewId="0">
      <selection activeCell="D3" sqref="D3:H148"/>
    </sheetView>
  </sheetViews>
  <sheetFormatPr defaultColWidth="9" defaultRowHeight="13.5"/>
  <cols>
    <col min="2" max="2" width="30.25" customWidth="true"/>
    <col min="3" max="3" width="10.375" customWidth="true"/>
    <col min="4" max="4" width="12.125" customWidth="true"/>
    <col min="5" max="5" width="11.875" customWidth="true"/>
  </cols>
  <sheetData>
    <row r="1" ht="43.5" customHeight="true" spans="1:8">
      <c r="A1" s="120" t="s">
        <v>101</v>
      </c>
      <c r="B1" s="120"/>
      <c r="C1" s="120"/>
      <c r="D1" s="120"/>
      <c r="E1" s="120"/>
      <c r="F1" s="120"/>
      <c r="G1" s="120"/>
      <c r="H1" s="120"/>
    </row>
    <row r="2" spans="1:8">
      <c r="A2" s="121" t="s">
        <v>1</v>
      </c>
      <c r="B2" s="121" t="s">
        <v>2</v>
      </c>
      <c r="C2" s="121" t="s">
        <v>3</v>
      </c>
      <c r="D2" s="121" t="s">
        <v>4</v>
      </c>
      <c r="E2" s="121" t="s">
        <v>5</v>
      </c>
      <c r="F2" s="121" t="s">
        <v>6</v>
      </c>
      <c r="G2" s="121" t="s">
        <v>7</v>
      </c>
      <c r="H2" s="121" t="s">
        <v>8</v>
      </c>
    </row>
    <row r="3" spans="1:8">
      <c r="A3" s="121" t="s">
        <v>9</v>
      </c>
      <c r="B3" s="121" t="s">
        <v>10</v>
      </c>
      <c r="C3" s="121"/>
      <c r="D3" s="122">
        <f>D4+D58+D76+D94+D99</f>
        <v>29179.93</v>
      </c>
      <c r="E3" s="122">
        <f t="shared" ref="E3:G3" si="0">E4+E58+E76+E94+E99</f>
        <v>19995.52</v>
      </c>
      <c r="F3" s="122">
        <f t="shared" si="0"/>
        <v>906.02</v>
      </c>
      <c r="G3" s="122">
        <f t="shared" si="0"/>
        <v>0</v>
      </c>
      <c r="H3" s="123">
        <f>SUM(D3:G3)</f>
        <v>50081.47</v>
      </c>
    </row>
    <row r="4" spans="1:8">
      <c r="A4" s="121" t="s">
        <v>11</v>
      </c>
      <c r="B4" s="121" t="s">
        <v>12</v>
      </c>
      <c r="C4" s="39" t="s">
        <v>13</v>
      </c>
      <c r="D4" s="123">
        <f>妇产!C5</f>
        <v>28332.02</v>
      </c>
      <c r="E4" s="123">
        <f>妇产!E5</f>
        <v>16334.14</v>
      </c>
      <c r="F4" s="123">
        <f>妇产!D5</f>
        <v>906.02</v>
      </c>
      <c r="G4" s="121"/>
      <c r="H4" s="123">
        <f>SUM(D4:G4)</f>
        <v>45572.18</v>
      </c>
    </row>
    <row r="5" spans="1:8">
      <c r="A5" s="124">
        <v>1</v>
      </c>
      <c r="B5" s="125" t="s">
        <v>14</v>
      </c>
      <c r="C5" s="43" t="s">
        <v>13</v>
      </c>
      <c r="D5" s="126">
        <f>妇产!C6</f>
        <v>19783.07</v>
      </c>
      <c r="E5" s="123">
        <f>妇产!E6</f>
        <v>0</v>
      </c>
      <c r="F5" s="123">
        <f>妇产!D6</f>
        <v>0</v>
      </c>
      <c r="G5" s="121"/>
      <c r="H5" s="123">
        <f t="shared" ref="H5:H68" si="1">SUM(D5:G5)</f>
        <v>19783.07</v>
      </c>
    </row>
    <row r="6" spans="1:8">
      <c r="A6" s="124" t="s">
        <v>102</v>
      </c>
      <c r="B6" s="125" t="s">
        <v>103</v>
      </c>
      <c r="C6" s="43" t="s">
        <v>104</v>
      </c>
      <c r="D6" s="126">
        <f>妇产!C7</f>
        <v>1805</v>
      </c>
      <c r="E6" s="123">
        <f>妇产!E7</f>
        <v>0</v>
      </c>
      <c r="F6" s="123">
        <f>妇产!D7</f>
        <v>0</v>
      </c>
      <c r="G6" s="121"/>
      <c r="H6" s="123">
        <f t="shared" si="1"/>
        <v>1805</v>
      </c>
    </row>
    <row r="7" spans="1:8">
      <c r="A7" s="124" t="s">
        <v>105</v>
      </c>
      <c r="B7" s="125" t="s">
        <v>106</v>
      </c>
      <c r="C7" s="43" t="s">
        <v>104</v>
      </c>
      <c r="D7" s="126">
        <f>妇产!C8</f>
        <v>6682.22</v>
      </c>
      <c r="E7" s="123">
        <f>妇产!E8</f>
        <v>0</v>
      </c>
      <c r="F7" s="123">
        <f>妇产!D8</f>
        <v>0</v>
      </c>
      <c r="G7" s="121"/>
      <c r="H7" s="123">
        <f t="shared" si="1"/>
        <v>6682.22</v>
      </c>
    </row>
    <row r="8" spans="1:8">
      <c r="A8" s="124" t="s">
        <v>107</v>
      </c>
      <c r="B8" s="125" t="s">
        <v>108</v>
      </c>
      <c r="C8" s="43" t="s">
        <v>13</v>
      </c>
      <c r="D8" s="126">
        <f>妇产!C9</f>
        <v>1919.81</v>
      </c>
      <c r="E8" s="123">
        <f>妇产!E9</f>
        <v>0</v>
      </c>
      <c r="F8" s="123">
        <f>妇产!D9</f>
        <v>0</v>
      </c>
      <c r="G8" s="121"/>
      <c r="H8" s="123">
        <f t="shared" si="1"/>
        <v>1919.81</v>
      </c>
    </row>
    <row r="9" spans="1:8">
      <c r="A9" s="124" t="s">
        <v>109</v>
      </c>
      <c r="B9" s="23" t="s">
        <v>110</v>
      </c>
      <c r="C9" s="43" t="s">
        <v>111</v>
      </c>
      <c r="D9" s="126">
        <f>妇产!C10</f>
        <v>9376.04</v>
      </c>
      <c r="E9" s="123">
        <f>妇产!E10</f>
        <v>0</v>
      </c>
      <c r="F9" s="123">
        <f>妇产!D10</f>
        <v>0</v>
      </c>
      <c r="G9" s="121"/>
      <c r="H9" s="123">
        <f t="shared" si="1"/>
        <v>9376.04</v>
      </c>
    </row>
    <row r="10" spans="1:8">
      <c r="A10" s="24">
        <v>2</v>
      </c>
      <c r="B10" s="23" t="s">
        <v>15</v>
      </c>
      <c r="C10" s="43" t="s">
        <v>13</v>
      </c>
      <c r="D10" s="126">
        <f>妇产!C11</f>
        <v>8481.44</v>
      </c>
      <c r="E10" s="123">
        <f>妇产!E11</f>
        <v>0</v>
      </c>
      <c r="F10" s="123">
        <f>妇产!D11</f>
        <v>0</v>
      </c>
      <c r="G10" s="121"/>
      <c r="H10" s="123">
        <f t="shared" si="1"/>
        <v>8481.44</v>
      </c>
    </row>
    <row r="11" spans="1:8">
      <c r="A11" s="24">
        <v>2.1</v>
      </c>
      <c r="B11" s="23" t="s">
        <v>112</v>
      </c>
      <c r="C11" s="43" t="s">
        <v>104</v>
      </c>
      <c r="D11" s="126">
        <f>妇产!C12</f>
        <v>986.17</v>
      </c>
      <c r="E11" s="123">
        <f>妇产!E12</f>
        <v>0</v>
      </c>
      <c r="F11" s="123">
        <f>妇产!D12</f>
        <v>0</v>
      </c>
      <c r="G11" s="121"/>
      <c r="H11" s="123">
        <f t="shared" si="1"/>
        <v>986.17</v>
      </c>
    </row>
    <row r="12" spans="1:8">
      <c r="A12" s="24">
        <v>2.2</v>
      </c>
      <c r="B12" s="23" t="s">
        <v>113</v>
      </c>
      <c r="C12" s="43" t="s">
        <v>111</v>
      </c>
      <c r="D12" s="126">
        <f>妇产!C13</f>
        <v>5578.79</v>
      </c>
      <c r="E12" s="123">
        <f>妇产!E13</f>
        <v>0</v>
      </c>
      <c r="F12" s="123">
        <f>妇产!D13</f>
        <v>0</v>
      </c>
      <c r="G12" s="121"/>
      <c r="H12" s="123">
        <f t="shared" si="1"/>
        <v>5578.79</v>
      </c>
    </row>
    <row r="13" spans="1:8">
      <c r="A13" s="24" t="s">
        <v>114</v>
      </c>
      <c r="B13" s="23" t="s">
        <v>115</v>
      </c>
      <c r="C13" s="43" t="s">
        <v>111</v>
      </c>
      <c r="D13" s="126">
        <f>妇产!C14</f>
        <v>1916.48</v>
      </c>
      <c r="E13" s="123">
        <f>妇产!E14</f>
        <v>0</v>
      </c>
      <c r="F13" s="123">
        <f>妇产!D14</f>
        <v>0</v>
      </c>
      <c r="G13" s="121"/>
      <c r="H13" s="123">
        <f t="shared" si="1"/>
        <v>1916.48</v>
      </c>
    </row>
    <row r="14" spans="1:8">
      <c r="A14" s="24" t="s">
        <v>16</v>
      </c>
      <c r="B14" s="23" t="s">
        <v>17</v>
      </c>
      <c r="C14" s="43" t="s">
        <v>13</v>
      </c>
      <c r="D14" s="123">
        <f>妇产!C15</f>
        <v>0</v>
      </c>
      <c r="E14" s="126">
        <f>妇产!E15</f>
        <v>2592.52</v>
      </c>
      <c r="F14" s="123">
        <f>妇产!D15</f>
        <v>0</v>
      </c>
      <c r="G14" s="121"/>
      <c r="H14" s="123">
        <f t="shared" si="1"/>
        <v>2592.52</v>
      </c>
    </row>
    <row r="15" spans="1:8">
      <c r="A15" s="24" t="s">
        <v>116</v>
      </c>
      <c r="B15" s="23" t="s">
        <v>117</v>
      </c>
      <c r="C15" s="43" t="s">
        <v>13</v>
      </c>
      <c r="D15" s="123">
        <f>妇产!C16</f>
        <v>0</v>
      </c>
      <c r="E15" s="126">
        <f>妇产!E16</f>
        <v>1541.34</v>
      </c>
      <c r="F15" s="123">
        <f>妇产!D16</f>
        <v>0</v>
      </c>
      <c r="G15" s="121"/>
      <c r="H15" s="123">
        <f t="shared" si="1"/>
        <v>1541.34</v>
      </c>
    </row>
    <row r="16" spans="1:8">
      <c r="A16" s="24" t="s">
        <v>118</v>
      </c>
      <c r="B16" s="23" t="s">
        <v>119</v>
      </c>
      <c r="C16" s="43" t="s">
        <v>13</v>
      </c>
      <c r="D16" s="123">
        <f>妇产!C17</f>
        <v>0</v>
      </c>
      <c r="E16" s="126">
        <f>妇产!E17</f>
        <v>1051.18</v>
      </c>
      <c r="F16" s="123">
        <f>妇产!D17</f>
        <v>0</v>
      </c>
      <c r="G16" s="121"/>
      <c r="H16" s="123">
        <f t="shared" si="1"/>
        <v>1051.18</v>
      </c>
    </row>
    <row r="17" spans="1:8">
      <c r="A17" s="24" t="s">
        <v>18</v>
      </c>
      <c r="B17" s="23" t="s">
        <v>19</v>
      </c>
      <c r="C17" s="43" t="s">
        <v>13</v>
      </c>
      <c r="D17" s="123">
        <f>妇产!C18</f>
        <v>0</v>
      </c>
      <c r="E17" s="126">
        <f>妇产!E18</f>
        <v>3822.79</v>
      </c>
      <c r="F17" s="123">
        <f>妇产!D18</f>
        <v>0</v>
      </c>
      <c r="G17" s="121"/>
      <c r="H17" s="123">
        <f t="shared" si="1"/>
        <v>3822.79</v>
      </c>
    </row>
    <row r="18" spans="1:8">
      <c r="A18" s="24" t="s">
        <v>120</v>
      </c>
      <c r="B18" s="23" t="s">
        <v>121</v>
      </c>
      <c r="C18" s="43" t="s">
        <v>13</v>
      </c>
      <c r="D18" s="123">
        <f>妇产!C19</f>
        <v>0</v>
      </c>
      <c r="E18" s="126">
        <f>妇产!E19</f>
        <v>66.15</v>
      </c>
      <c r="F18" s="123">
        <f>妇产!D19</f>
        <v>0</v>
      </c>
      <c r="G18" s="121"/>
      <c r="H18" s="123">
        <f t="shared" si="1"/>
        <v>66.15</v>
      </c>
    </row>
    <row r="19" spans="1:8">
      <c r="A19" s="24" t="s">
        <v>122</v>
      </c>
      <c r="B19" s="23" t="s">
        <v>123</v>
      </c>
      <c r="C19" s="43" t="s">
        <v>13</v>
      </c>
      <c r="D19" s="123">
        <f>妇产!C20</f>
        <v>0</v>
      </c>
      <c r="E19" s="126">
        <f>妇产!E20</f>
        <v>3756.64</v>
      </c>
      <c r="F19" s="123">
        <f>妇产!D20</f>
        <v>0</v>
      </c>
      <c r="G19" s="121"/>
      <c r="H19" s="123">
        <f t="shared" si="1"/>
        <v>3756.64</v>
      </c>
    </row>
    <row r="20" spans="1:8">
      <c r="A20" s="24" t="s">
        <v>20</v>
      </c>
      <c r="B20" s="23" t="s">
        <v>21</v>
      </c>
      <c r="C20" s="43" t="s">
        <v>13</v>
      </c>
      <c r="D20" s="123">
        <f>妇产!C21</f>
        <v>0</v>
      </c>
      <c r="E20" s="126">
        <f>妇产!E21</f>
        <v>546.93</v>
      </c>
      <c r="F20" s="123">
        <f>妇产!D21</f>
        <v>0</v>
      </c>
      <c r="G20" s="121"/>
      <c r="H20" s="123">
        <f t="shared" si="1"/>
        <v>546.93</v>
      </c>
    </row>
    <row r="21" spans="1:8">
      <c r="A21" s="24" t="s">
        <v>124</v>
      </c>
      <c r="B21" s="23" t="s">
        <v>125</v>
      </c>
      <c r="C21" s="43" t="s">
        <v>13</v>
      </c>
      <c r="D21" s="123">
        <f>妇产!C22</f>
        <v>0</v>
      </c>
      <c r="E21" s="126">
        <f>妇产!E22</f>
        <v>43.64</v>
      </c>
      <c r="F21" s="123">
        <f>妇产!D22</f>
        <v>0</v>
      </c>
      <c r="G21" s="121"/>
      <c r="H21" s="123">
        <f t="shared" si="1"/>
        <v>43.64</v>
      </c>
    </row>
    <row r="22" spans="1:8">
      <c r="A22" s="24" t="s">
        <v>126</v>
      </c>
      <c r="B22" s="23" t="s">
        <v>127</v>
      </c>
      <c r="C22" s="43" t="s">
        <v>13</v>
      </c>
      <c r="D22" s="123">
        <f>妇产!C23</f>
        <v>0</v>
      </c>
      <c r="E22" s="126">
        <f>妇产!E23</f>
        <v>503.29</v>
      </c>
      <c r="F22" s="123">
        <f>妇产!D23</f>
        <v>0</v>
      </c>
      <c r="G22" s="121"/>
      <c r="H22" s="123">
        <f t="shared" si="1"/>
        <v>503.29</v>
      </c>
    </row>
    <row r="23" spans="1:8">
      <c r="A23" s="24" t="s">
        <v>22</v>
      </c>
      <c r="B23" s="23" t="s">
        <v>23</v>
      </c>
      <c r="C23" s="43" t="s">
        <v>13</v>
      </c>
      <c r="D23" s="123">
        <f>妇产!C24</f>
        <v>0</v>
      </c>
      <c r="E23" s="126">
        <f>妇产!E24</f>
        <v>5129.5</v>
      </c>
      <c r="F23" s="123">
        <f>妇产!D24</f>
        <v>0</v>
      </c>
      <c r="G23" s="121"/>
      <c r="H23" s="123">
        <f t="shared" si="1"/>
        <v>5129.5</v>
      </c>
    </row>
    <row r="24" spans="1:8">
      <c r="A24" s="24" t="s">
        <v>128</v>
      </c>
      <c r="B24" s="23" t="s">
        <v>129</v>
      </c>
      <c r="C24" s="43" t="s">
        <v>13</v>
      </c>
      <c r="D24" s="123">
        <f>妇产!C25</f>
        <v>0</v>
      </c>
      <c r="E24" s="126">
        <f>妇产!E25</f>
        <v>1256.36</v>
      </c>
      <c r="F24" s="123">
        <f>妇产!D25</f>
        <v>0</v>
      </c>
      <c r="G24" s="121"/>
      <c r="H24" s="123">
        <f t="shared" si="1"/>
        <v>1256.36</v>
      </c>
    </row>
    <row r="25" spans="1:8">
      <c r="A25" s="24" t="s">
        <v>130</v>
      </c>
      <c r="B25" s="23" t="s">
        <v>131</v>
      </c>
      <c r="C25" s="43" t="s">
        <v>13</v>
      </c>
      <c r="D25" s="123">
        <f>妇产!C26</f>
        <v>0</v>
      </c>
      <c r="E25" s="126">
        <f>妇产!E26</f>
        <v>3873.14</v>
      </c>
      <c r="F25" s="123">
        <f>妇产!D26</f>
        <v>0</v>
      </c>
      <c r="G25" s="121"/>
      <c r="H25" s="123">
        <f t="shared" si="1"/>
        <v>3873.14</v>
      </c>
    </row>
    <row r="26" spans="1:8">
      <c r="A26" s="24" t="s">
        <v>24</v>
      </c>
      <c r="B26" s="23" t="s">
        <v>25</v>
      </c>
      <c r="C26" s="43" t="s">
        <v>13</v>
      </c>
      <c r="D26" s="123">
        <f>妇产!C27</f>
        <v>0</v>
      </c>
      <c r="E26" s="126">
        <f>妇产!E27</f>
        <v>3365.71</v>
      </c>
      <c r="F26" s="123">
        <f>妇产!D27</f>
        <v>0</v>
      </c>
      <c r="G26" s="121"/>
      <c r="H26" s="123">
        <f t="shared" si="1"/>
        <v>3365.71</v>
      </c>
    </row>
    <row r="27" spans="1:8">
      <c r="A27" s="24" t="s">
        <v>132</v>
      </c>
      <c r="B27" s="23" t="s">
        <v>133</v>
      </c>
      <c r="C27" s="43" t="s">
        <v>13</v>
      </c>
      <c r="D27" s="123">
        <f>妇产!C28</f>
        <v>0</v>
      </c>
      <c r="E27" s="126">
        <f>妇产!E28</f>
        <v>590.32</v>
      </c>
      <c r="F27" s="123">
        <f>妇产!D28</f>
        <v>0</v>
      </c>
      <c r="G27" s="121"/>
      <c r="H27" s="123">
        <f t="shared" si="1"/>
        <v>590.32</v>
      </c>
    </row>
    <row r="28" spans="1:8">
      <c r="A28" s="24" t="s">
        <v>134</v>
      </c>
      <c r="B28" s="23" t="s">
        <v>135</v>
      </c>
      <c r="C28" s="43" t="s">
        <v>13</v>
      </c>
      <c r="D28" s="123">
        <f>妇产!C29</f>
        <v>0</v>
      </c>
      <c r="E28" s="126">
        <f>妇产!E29</f>
        <v>56.8</v>
      </c>
      <c r="F28" s="123">
        <f>妇产!D29</f>
        <v>0</v>
      </c>
      <c r="G28" s="121"/>
      <c r="H28" s="123">
        <f t="shared" si="1"/>
        <v>56.8</v>
      </c>
    </row>
    <row r="29" spans="1:8">
      <c r="A29" s="24" t="s">
        <v>136</v>
      </c>
      <c r="B29" s="23" t="s">
        <v>137</v>
      </c>
      <c r="C29" s="43" t="s">
        <v>13</v>
      </c>
      <c r="D29" s="123">
        <f>妇产!C30</f>
        <v>0</v>
      </c>
      <c r="E29" s="126">
        <f>妇产!E30</f>
        <v>37.71</v>
      </c>
      <c r="F29" s="123">
        <f>妇产!D30</f>
        <v>0</v>
      </c>
      <c r="G29" s="121"/>
      <c r="H29" s="123">
        <f t="shared" si="1"/>
        <v>37.71</v>
      </c>
    </row>
    <row r="30" spans="1:8">
      <c r="A30" s="24" t="s">
        <v>138</v>
      </c>
      <c r="B30" s="26" t="s">
        <v>139</v>
      </c>
      <c r="C30" s="43" t="s">
        <v>13</v>
      </c>
      <c r="D30" s="123">
        <f>妇产!C31</f>
        <v>0</v>
      </c>
      <c r="E30" s="126">
        <f>妇产!E31</f>
        <v>142.94</v>
      </c>
      <c r="F30" s="123">
        <f>妇产!D31</f>
        <v>0</v>
      </c>
      <c r="G30" s="121"/>
      <c r="H30" s="123">
        <f t="shared" si="1"/>
        <v>142.94</v>
      </c>
    </row>
    <row r="31" spans="1:8">
      <c r="A31" s="24" t="s">
        <v>140</v>
      </c>
      <c r="B31" s="23" t="s">
        <v>141</v>
      </c>
      <c r="C31" s="43" t="s">
        <v>13</v>
      </c>
      <c r="D31" s="123">
        <f>妇产!C32</f>
        <v>0</v>
      </c>
      <c r="E31" s="126">
        <f>妇产!E32</f>
        <v>639.17</v>
      </c>
      <c r="F31" s="123">
        <f>妇产!D32</f>
        <v>0</v>
      </c>
      <c r="G31" s="121"/>
      <c r="H31" s="123">
        <f t="shared" si="1"/>
        <v>639.17</v>
      </c>
    </row>
    <row r="32" spans="1:8">
      <c r="A32" s="24" t="s">
        <v>142</v>
      </c>
      <c r="B32" s="23" t="s">
        <v>143</v>
      </c>
      <c r="C32" s="43" t="s">
        <v>13</v>
      </c>
      <c r="D32" s="123">
        <f>妇产!C33</f>
        <v>0</v>
      </c>
      <c r="E32" s="126">
        <f>妇产!E33</f>
        <v>9.9</v>
      </c>
      <c r="F32" s="123">
        <f>妇产!D33</f>
        <v>0</v>
      </c>
      <c r="G32" s="121"/>
      <c r="H32" s="123">
        <f t="shared" si="1"/>
        <v>9.9</v>
      </c>
    </row>
    <row r="33" spans="1:8">
      <c r="A33" s="24" t="s">
        <v>144</v>
      </c>
      <c r="B33" s="26" t="s">
        <v>145</v>
      </c>
      <c r="C33" s="43" t="s">
        <v>13</v>
      </c>
      <c r="D33" s="123">
        <f>妇产!C34</f>
        <v>0</v>
      </c>
      <c r="E33" s="126">
        <f>妇产!E34</f>
        <v>315.96</v>
      </c>
      <c r="F33" s="123">
        <f>妇产!D34</f>
        <v>0</v>
      </c>
      <c r="G33" s="121"/>
      <c r="H33" s="123">
        <f t="shared" si="1"/>
        <v>315.96</v>
      </c>
    </row>
    <row r="34" spans="1:8">
      <c r="A34" s="24" t="s">
        <v>146</v>
      </c>
      <c r="B34" s="26" t="s">
        <v>147</v>
      </c>
      <c r="C34" s="43" t="s">
        <v>13</v>
      </c>
      <c r="D34" s="123">
        <f>妇产!C35</f>
        <v>0</v>
      </c>
      <c r="E34" s="126">
        <f>妇产!E35</f>
        <v>326</v>
      </c>
      <c r="F34" s="123">
        <f>妇产!D35</f>
        <v>0</v>
      </c>
      <c r="G34" s="121"/>
      <c r="H34" s="123">
        <f t="shared" si="1"/>
        <v>326</v>
      </c>
    </row>
    <row r="35" spans="1:8">
      <c r="A35" s="24" t="s">
        <v>148</v>
      </c>
      <c r="B35" s="23" t="s">
        <v>149</v>
      </c>
      <c r="C35" s="43" t="s">
        <v>13</v>
      </c>
      <c r="D35" s="123">
        <f>妇产!C36</f>
        <v>0</v>
      </c>
      <c r="E35" s="126">
        <f>妇产!E36</f>
        <v>149.71</v>
      </c>
      <c r="F35" s="123">
        <f>妇产!D36</f>
        <v>0</v>
      </c>
      <c r="G35" s="121"/>
      <c r="H35" s="123">
        <f t="shared" si="1"/>
        <v>149.71</v>
      </c>
    </row>
    <row r="36" spans="1:8">
      <c r="A36" s="24" t="s">
        <v>150</v>
      </c>
      <c r="B36" s="23" t="s">
        <v>151</v>
      </c>
      <c r="C36" s="43" t="s">
        <v>13</v>
      </c>
      <c r="D36" s="123">
        <f>妇产!C37</f>
        <v>0</v>
      </c>
      <c r="E36" s="126">
        <f>妇产!E37</f>
        <v>85.89</v>
      </c>
      <c r="F36" s="123">
        <f>妇产!D37</f>
        <v>0</v>
      </c>
      <c r="G36" s="121"/>
      <c r="H36" s="123">
        <f t="shared" si="1"/>
        <v>85.89</v>
      </c>
    </row>
    <row r="37" spans="1:8">
      <c r="A37" s="24" t="s">
        <v>152</v>
      </c>
      <c r="B37" s="23" t="s">
        <v>153</v>
      </c>
      <c r="C37" s="43" t="s">
        <v>13</v>
      </c>
      <c r="D37" s="123">
        <f>妇产!C38</f>
        <v>0</v>
      </c>
      <c r="E37" s="126">
        <f>妇产!E38</f>
        <v>205.23</v>
      </c>
      <c r="F37" s="123">
        <f>妇产!D38</f>
        <v>0</v>
      </c>
      <c r="G37" s="121"/>
      <c r="H37" s="123">
        <f t="shared" si="1"/>
        <v>205.23</v>
      </c>
    </row>
    <row r="38" spans="1:8">
      <c r="A38" s="24" t="s">
        <v>154</v>
      </c>
      <c r="B38" s="26" t="s">
        <v>155</v>
      </c>
      <c r="C38" s="43" t="s">
        <v>13</v>
      </c>
      <c r="D38" s="123">
        <f>妇产!C39</f>
        <v>0</v>
      </c>
      <c r="E38" s="126">
        <f>妇产!E39</f>
        <v>2.73</v>
      </c>
      <c r="F38" s="123">
        <f>妇产!D39</f>
        <v>0</v>
      </c>
      <c r="G38" s="121"/>
      <c r="H38" s="123">
        <f t="shared" si="1"/>
        <v>2.73</v>
      </c>
    </row>
    <row r="39" spans="1:8">
      <c r="A39" s="24" t="s">
        <v>156</v>
      </c>
      <c r="B39" s="26" t="s">
        <v>157</v>
      </c>
      <c r="C39" s="43" t="s">
        <v>13</v>
      </c>
      <c r="D39" s="123">
        <f>妇产!C40</f>
        <v>0</v>
      </c>
      <c r="E39" s="126">
        <f>妇产!E40</f>
        <v>89.79</v>
      </c>
      <c r="F39" s="123">
        <f>妇产!D40</f>
        <v>0</v>
      </c>
      <c r="G39" s="121"/>
      <c r="H39" s="123">
        <f t="shared" si="1"/>
        <v>89.79</v>
      </c>
    </row>
    <row r="40" spans="1:8">
      <c r="A40" s="24" t="s">
        <v>158</v>
      </c>
      <c r="B40" s="23" t="s">
        <v>159</v>
      </c>
      <c r="C40" s="43" t="s">
        <v>13</v>
      </c>
      <c r="D40" s="123">
        <f>妇产!C41</f>
        <v>0</v>
      </c>
      <c r="E40" s="126">
        <f>妇产!E41</f>
        <v>33.82</v>
      </c>
      <c r="F40" s="123">
        <f>妇产!D41</f>
        <v>0</v>
      </c>
      <c r="G40" s="121"/>
      <c r="H40" s="123">
        <f t="shared" si="1"/>
        <v>33.82</v>
      </c>
    </row>
    <row r="41" spans="1:8">
      <c r="A41" s="24" t="s">
        <v>160</v>
      </c>
      <c r="B41" s="26" t="s">
        <v>161</v>
      </c>
      <c r="C41" s="43" t="s">
        <v>13</v>
      </c>
      <c r="D41" s="123">
        <f>妇产!C42</f>
        <v>0</v>
      </c>
      <c r="E41" s="126">
        <f>妇产!E42</f>
        <v>17.94</v>
      </c>
      <c r="F41" s="123">
        <f>妇产!D42</f>
        <v>0</v>
      </c>
      <c r="G41" s="121"/>
      <c r="H41" s="123">
        <f t="shared" si="1"/>
        <v>17.94</v>
      </c>
    </row>
    <row r="42" spans="1:8">
      <c r="A42" s="24" t="s">
        <v>162</v>
      </c>
      <c r="B42" s="23" t="s">
        <v>163</v>
      </c>
      <c r="C42" s="43" t="s">
        <v>13</v>
      </c>
      <c r="D42" s="123">
        <f>妇产!C43</f>
        <v>0</v>
      </c>
      <c r="E42" s="126">
        <f>妇产!E43</f>
        <v>11.48</v>
      </c>
      <c r="F42" s="123">
        <f>妇产!D43</f>
        <v>0</v>
      </c>
      <c r="G42" s="121"/>
      <c r="H42" s="123">
        <f t="shared" si="1"/>
        <v>11.48</v>
      </c>
    </row>
    <row r="43" spans="1:8">
      <c r="A43" s="24" t="s">
        <v>164</v>
      </c>
      <c r="B43" s="26" t="s">
        <v>165</v>
      </c>
      <c r="C43" s="43" t="s">
        <v>13</v>
      </c>
      <c r="D43" s="123">
        <f>妇产!C44</f>
        <v>0</v>
      </c>
      <c r="E43" s="126">
        <f>妇产!E44</f>
        <v>42.31</v>
      </c>
      <c r="F43" s="123">
        <f>妇产!D44</f>
        <v>0</v>
      </c>
      <c r="G43" s="121"/>
      <c r="H43" s="123">
        <f t="shared" si="1"/>
        <v>42.31</v>
      </c>
    </row>
    <row r="44" spans="1:8">
      <c r="A44" s="24" t="s">
        <v>166</v>
      </c>
      <c r="B44" s="26" t="s">
        <v>167</v>
      </c>
      <c r="C44" s="43" t="s">
        <v>13</v>
      </c>
      <c r="D44" s="123">
        <f>妇产!C45</f>
        <v>0</v>
      </c>
      <c r="E44" s="126">
        <f>妇产!E45</f>
        <v>42.19</v>
      </c>
      <c r="F44" s="123">
        <f>妇产!D45</f>
        <v>0</v>
      </c>
      <c r="G44" s="121"/>
      <c r="H44" s="123">
        <f t="shared" si="1"/>
        <v>42.19</v>
      </c>
    </row>
    <row r="45" spans="1:8">
      <c r="A45" s="24" t="s">
        <v>168</v>
      </c>
      <c r="B45" s="23" t="s">
        <v>169</v>
      </c>
      <c r="C45" s="43" t="s">
        <v>13</v>
      </c>
      <c r="D45" s="123">
        <f>妇产!C46</f>
        <v>0</v>
      </c>
      <c r="E45" s="126">
        <f>妇产!E46</f>
        <v>14.26</v>
      </c>
      <c r="F45" s="123">
        <f>妇产!D46</f>
        <v>0</v>
      </c>
      <c r="G45" s="121"/>
      <c r="H45" s="123">
        <f t="shared" si="1"/>
        <v>14.26</v>
      </c>
    </row>
    <row r="46" spans="1:8">
      <c r="A46" s="24" t="s">
        <v>170</v>
      </c>
      <c r="B46" s="23" t="s">
        <v>171</v>
      </c>
      <c r="C46" s="43" t="s">
        <v>13</v>
      </c>
      <c r="D46" s="123">
        <f>妇产!C47</f>
        <v>0</v>
      </c>
      <c r="E46" s="126">
        <f>妇产!E47</f>
        <v>12.6</v>
      </c>
      <c r="F46" s="123">
        <f>妇产!D47</f>
        <v>0</v>
      </c>
      <c r="G46" s="121"/>
      <c r="H46" s="123">
        <f t="shared" si="1"/>
        <v>12.6</v>
      </c>
    </row>
    <row r="47" spans="1:8">
      <c r="A47" s="24" t="s">
        <v>172</v>
      </c>
      <c r="B47" s="23" t="s">
        <v>173</v>
      </c>
      <c r="C47" s="43" t="s">
        <v>13</v>
      </c>
      <c r="D47" s="123">
        <f>妇产!C48</f>
        <v>0</v>
      </c>
      <c r="E47" s="126">
        <f>妇产!E48</f>
        <v>4.38</v>
      </c>
      <c r="F47" s="123">
        <f>妇产!D48</f>
        <v>0</v>
      </c>
      <c r="G47" s="121"/>
      <c r="H47" s="123">
        <f t="shared" si="1"/>
        <v>4.38</v>
      </c>
    </row>
    <row r="48" spans="1:8">
      <c r="A48" s="24" t="s">
        <v>174</v>
      </c>
      <c r="B48" s="23" t="s">
        <v>175</v>
      </c>
      <c r="C48" s="43" t="s">
        <v>13</v>
      </c>
      <c r="D48" s="123">
        <f>妇产!C49</f>
        <v>0</v>
      </c>
      <c r="E48" s="126">
        <f>妇产!E49</f>
        <v>262.61</v>
      </c>
      <c r="F48" s="123">
        <f>妇产!D49</f>
        <v>0</v>
      </c>
      <c r="G48" s="121"/>
      <c r="H48" s="123">
        <f t="shared" si="1"/>
        <v>262.61</v>
      </c>
    </row>
    <row r="49" spans="1:8">
      <c r="A49" s="24" t="s">
        <v>176</v>
      </c>
      <c r="B49" s="23" t="s">
        <v>177</v>
      </c>
      <c r="C49" s="43">
        <v>67510</v>
      </c>
      <c r="D49" s="123">
        <f>妇产!C50</f>
        <v>0</v>
      </c>
      <c r="E49" s="126">
        <f>妇产!E50</f>
        <v>8.57</v>
      </c>
      <c r="F49" s="123">
        <f>妇产!D50</f>
        <v>0</v>
      </c>
      <c r="G49" s="121"/>
      <c r="H49" s="123">
        <f t="shared" si="1"/>
        <v>8.57</v>
      </c>
    </row>
    <row r="50" spans="1:8">
      <c r="A50" s="24" t="s">
        <v>178</v>
      </c>
      <c r="B50" s="23" t="s">
        <v>179</v>
      </c>
      <c r="C50" s="43" t="s">
        <v>13</v>
      </c>
      <c r="D50" s="123">
        <f>妇产!C51</f>
        <v>0</v>
      </c>
      <c r="E50" s="126">
        <f>妇产!E51</f>
        <v>45.95</v>
      </c>
      <c r="F50" s="123">
        <f>妇产!D51</f>
        <v>0</v>
      </c>
      <c r="G50" s="121"/>
      <c r="H50" s="123">
        <f t="shared" si="1"/>
        <v>45.95</v>
      </c>
    </row>
    <row r="51" spans="1:8">
      <c r="A51" s="24" t="s">
        <v>180</v>
      </c>
      <c r="B51" s="23" t="s">
        <v>181</v>
      </c>
      <c r="C51" s="43" t="s">
        <v>13</v>
      </c>
      <c r="D51" s="123">
        <f>妇产!C52</f>
        <v>0</v>
      </c>
      <c r="E51" s="126">
        <f>妇产!E52</f>
        <v>156.22</v>
      </c>
      <c r="F51" s="123">
        <f>妇产!D52</f>
        <v>0</v>
      </c>
      <c r="G51" s="121"/>
      <c r="H51" s="123">
        <f t="shared" si="1"/>
        <v>156.22</v>
      </c>
    </row>
    <row r="52" spans="1:8">
      <c r="A52" s="24" t="s">
        <v>182</v>
      </c>
      <c r="B52" s="23" t="s">
        <v>183</v>
      </c>
      <c r="C52" s="43" t="s">
        <v>13</v>
      </c>
      <c r="D52" s="123">
        <f>妇产!C53</f>
        <v>0</v>
      </c>
      <c r="E52" s="126">
        <f>妇产!E53</f>
        <v>61.23</v>
      </c>
      <c r="F52" s="123">
        <f>妇产!D53</f>
        <v>0</v>
      </c>
      <c r="G52" s="121"/>
      <c r="H52" s="123">
        <f t="shared" si="1"/>
        <v>61.23</v>
      </c>
    </row>
    <row r="53" spans="1:8">
      <c r="A53" s="24" t="s">
        <v>26</v>
      </c>
      <c r="B53" s="23" t="s">
        <v>27</v>
      </c>
      <c r="C53" s="43" t="s">
        <v>28</v>
      </c>
      <c r="D53" s="123">
        <f>妇产!C54</f>
        <v>0</v>
      </c>
      <c r="E53" s="126">
        <f>妇产!E54</f>
        <v>49.14</v>
      </c>
      <c r="F53" s="123">
        <f>妇产!D54</f>
        <v>546.02</v>
      </c>
      <c r="G53" s="121"/>
      <c r="H53" s="123">
        <f t="shared" si="1"/>
        <v>595.16</v>
      </c>
    </row>
    <row r="54" spans="1:8">
      <c r="A54" s="24" t="s">
        <v>29</v>
      </c>
      <c r="B54" s="23" t="s">
        <v>30</v>
      </c>
      <c r="C54" s="43" t="s">
        <v>31</v>
      </c>
      <c r="D54" s="123">
        <f>妇产!C55</f>
        <v>0</v>
      </c>
      <c r="E54" s="126">
        <f>妇产!E55</f>
        <v>450</v>
      </c>
      <c r="F54" s="123">
        <f>妇产!D55</f>
        <v>0</v>
      </c>
      <c r="G54" s="121"/>
      <c r="H54" s="123">
        <f t="shared" si="1"/>
        <v>450</v>
      </c>
    </row>
    <row r="55" spans="1:8">
      <c r="A55" s="24" t="s">
        <v>32</v>
      </c>
      <c r="B55" s="23" t="s">
        <v>33</v>
      </c>
      <c r="C55" s="43" t="s">
        <v>13</v>
      </c>
      <c r="D55" s="123">
        <f>妇产!C56</f>
        <v>0</v>
      </c>
      <c r="E55" s="126">
        <f>妇产!E56</f>
        <v>337.55</v>
      </c>
      <c r="F55" s="123">
        <f>妇产!D56</f>
        <v>0</v>
      </c>
      <c r="G55" s="121"/>
      <c r="H55" s="123">
        <f t="shared" si="1"/>
        <v>337.55</v>
      </c>
    </row>
    <row r="56" spans="1:8">
      <c r="A56" s="24" t="s">
        <v>34</v>
      </c>
      <c r="B56" s="23" t="s">
        <v>35</v>
      </c>
      <c r="C56" s="43" t="s">
        <v>36</v>
      </c>
      <c r="D56" s="123">
        <f>妇产!C57</f>
        <v>0</v>
      </c>
      <c r="E56" s="126">
        <f>妇产!E57</f>
        <v>40</v>
      </c>
      <c r="F56" s="123">
        <f>妇产!D57</f>
        <v>360</v>
      </c>
      <c r="G56" s="121"/>
      <c r="H56" s="123">
        <f t="shared" si="1"/>
        <v>400</v>
      </c>
    </row>
    <row r="57" spans="1:8">
      <c r="A57" s="24" t="s">
        <v>37</v>
      </c>
      <c r="B57" s="23" t="s">
        <v>38</v>
      </c>
      <c r="C57" s="43" t="s">
        <v>13</v>
      </c>
      <c r="D57" s="126">
        <f>妇产!C58</f>
        <v>67.51</v>
      </c>
      <c r="E57" s="123">
        <f>妇产!E58</f>
        <v>0</v>
      </c>
      <c r="F57" s="121"/>
      <c r="G57" s="121"/>
      <c r="H57" s="123">
        <f t="shared" si="1"/>
        <v>67.51</v>
      </c>
    </row>
    <row r="58" spans="1:8">
      <c r="A58" s="121" t="s">
        <v>39</v>
      </c>
      <c r="B58" s="121" t="s">
        <v>40</v>
      </c>
      <c r="C58" s="121" t="s">
        <v>41</v>
      </c>
      <c r="D58" s="123">
        <f>污水!C5</f>
        <v>304.3</v>
      </c>
      <c r="E58" s="123">
        <f>污水!E5</f>
        <v>355.72</v>
      </c>
      <c r="F58" s="121"/>
      <c r="G58" s="121"/>
      <c r="H58" s="123">
        <f t="shared" si="1"/>
        <v>660.02</v>
      </c>
    </row>
    <row r="59" spans="1:8">
      <c r="A59" s="124">
        <v>1</v>
      </c>
      <c r="B59" s="125" t="s">
        <v>14</v>
      </c>
      <c r="C59" s="121" t="s">
        <v>41</v>
      </c>
      <c r="D59" s="126">
        <f>污水!C6</f>
        <v>290.45</v>
      </c>
      <c r="E59" s="123">
        <f>污水!E6</f>
        <v>0</v>
      </c>
      <c r="F59" s="121"/>
      <c r="G59" s="121"/>
      <c r="H59" s="123">
        <f t="shared" si="1"/>
        <v>290.45</v>
      </c>
    </row>
    <row r="60" spans="1:8">
      <c r="A60" s="24">
        <v>2</v>
      </c>
      <c r="B60" s="23" t="s">
        <v>15</v>
      </c>
      <c r="C60" s="121" t="s">
        <v>41</v>
      </c>
      <c r="D60" s="126">
        <f>污水!C7</f>
        <v>13.85</v>
      </c>
      <c r="E60" s="123">
        <f>污水!E7</f>
        <v>0</v>
      </c>
      <c r="F60" s="121"/>
      <c r="G60" s="121"/>
      <c r="H60" s="123">
        <f t="shared" si="1"/>
        <v>13.85</v>
      </c>
    </row>
    <row r="61" spans="1:8">
      <c r="A61" s="24" t="s">
        <v>16</v>
      </c>
      <c r="B61" s="23" t="s">
        <v>42</v>
      </c>
      <c r="C61" s="121" t="s">
        <v>41</v>
      </c>
      <c r="D61" s="123">
        <f>污水!C8</f>
        <v>0</v>
      </c>
      <c r="E61" s="126">
        <f>污水!E8</f>
        <v>320.2</v>
      </c>
      <c r="F61" s="121"/>
      <c r="G61" s="121"/>
      <c r="H61" s="123">
        <f t="shared" si="1"/>
        <v>320.2</v>
      </c>
    </row>
    <row r="62" spans="1:8">
      <c r="A62" s="24" t="s">
        <v>18</v>
      </c>
      <c r="B62" s="23" t="s">
        <v>19</v>
      </c>
      <c r="C62" s="121" t="s">
        <v>41</v>
      </c>
      <c r="D62" s="123">
        <f>污水!C9</f>
        <v>0</v>
      </c>
      <c r="E62" s="126">
        <f>污水!E9</f>
        <v>8.71</v>
      </c>
      <c r="F62" s="121"/>
      <c r="G62" s="121"/>
      <c r="H62" s="123">
        <f t="shared" si="1"/>
        <v>8.71</v>
      </c>
    </row>
    <row r="63" spans="1:8">
      <c r="A63" s="24" t="s">
        <v>120</v>
      </c>
      <c r="B63" s="23" t="s">
        <v>121</v>
      </c>
      <c r="C63" s="121" t="s">
        <v>41</v>
      </c>
      <c r="D63" s="123">
        <f>污水!C10</f>
        <v>0</v>
      </c>
      <c r="E63" s="126">
        <f>污水!E10</f>
        <v>0.67</v>
      </c>
      <c r="F63" s="121"/>
      <c r="G63" s="121"/>
      <c r="H63" s="123">
        <f t="shared" si="1"/>
        <v>0.67</v>
      </c>
    </row>
    <row r="64" spans="1:8">
      <c r="A64" s="24" t="s">
        <v>122</v>
      </c>
      <c r="B64" s="23" t="s">
        <v>123</v>
      </c>
      <c r="C64" s="121" t="s">
        <v>41</v>
      </c>
      <c r="D64" s="123">
        <f>污水!C11</f>
        <v>0</v>
      </c>
      <c r="E64" s="126">
        <f>污水!E11</f>
        <v>8.04</v>
      </c>
      <c r="F64" s="121"/>
      <c r="G64" s="121"/>
      <c r="H64" s="123">
        <f t="shared" si="1"/>
        <v>8.04</v>
      </c>
    </row>
    <row r="65" spans="1:8">
      <c r="A65" s="24" t="s">
        <v>20</v>
      </c>
      <c r="B65" s="23" t="s">
        <v>23</v>
      </c>
      <c r="C65" s="121" t="s">
        <v>41</v>
      </c>
      <c r="D65" s="123">
        <f>污水!C12</f>
        <v>0</v>
      </c>
      <c r="E65" s="126">
        <f>污水!E12</f>
        <v>9.96</v>
      </c>
      <c r="F65" s="121"/>
      <c r="G65" s="121"/>
      <c r="H65" s="123">
        <f t="shared" si="1"/>
        <v>9.96</v>
      </c>
    </row>
    <row r="66" spans="1:8">
      <c r="A66" s="24" t="s">
        <v>124</v>
      </c>
      <c r="B66" s="23" t="s">
        <v>131</v>
      </c>
      <c r="C66" s="121" t="s">
        <v>41</v>
      </c>
      <c r="D66" s="123">
        <f>污水!C13</f>
        <v>0</v>
      </c>
      <c r="E66" s="126">
        <f>污水!E13</f>
        <v>9.96</v>
      </c>
      <c r="F66" s="121"/>
      <c r="G66" s="121"/>
      <c r="H66" s="123">
        <f t="shared" si="1"/>
        <v>9.96</v>
      </c>
    </row>
    <row r="67" spans="1:8">
      <c r="A67" s="24" t="s">
        <v>22</v>
      </c>
      <c r="B67" s="23" t="s">
        <v>25</v>
      </c>
      <c r="C67" s="121" t="s">
        <v>41</v>
      </c>
      <c r="D67" s="123">
        <f>污水!C14</f>
        <v>0</v>
      </c>
      <c r="E67" s="126">
        <f>污水!E14</f>
        <v>15.35</v>
      </c>
      <c r="F67" s="121"/>
      <c r="G67" s="121"/>
      <c r="H67" s="123">
        <f t="shared" si="1"/>
        <v>15.35</v>
      </c>
    </row>
    <row r="68" spans="1:8">
      <c r="A68" s="24" t="s">
        <v>128</v>
      </c>
      <c r="B68" s="23" t="s">
        <v>184</v>
      </c>
      <c r="C68" s="121" t="s">
        <v>41</v>
      </c>
      <c r="D68" s="123">
        <f>污水!C15</f>
        <v>0</v>
      </c>
      <c r="E68" s="126">
        <f>污水!E15</f>
        <v>4.71</v>
      </c>
      <c r="F68" s="121"/>
      <c r="G68" s="121"/>
      <c r="H68" s="123">
        <f t="shared" si="1"/>
        <v>4.71</v>
      </c>
    </row>
    <row r="69" spans="1:8">
      <c r="A69" s="24" t="s">
        <v>130</v>
      </c>
      <c r="B69" s="23" t="s">
        <v>135</v>
      </c>
      <c r="C69" s="121" t="s">
        <v>41</v>
      </c>
      <c r="D69" s="123">
        <f>污水!C16</f>
        <v>0</v>
      </c>
      <c r="E69" s="126">
        <f>污水!E16</f>
        <v>0.82</v>
      </c>
      <c r="F69" s="121"/>
      <c r="G69" s="121"/>
      <c r="H69" s="123">
        <f t="shared" ref="H69:H132" si="2">SUM(D69:G69)</f>
        <v>0.82</v>
      </c>
    </row>
    <row r="70" spans="1:8">
      <c r="A70" s="24" t="s">
        <v>185</v>
      </c>
      <c r="B70" s="23" t="s">
        <v>141</v>
      </c>
      <c r="C70" s="121" t="s">
        <v>41</v>
      </c>
      <c r="D70" s="123">
        <f>污水!C17</f>
        <v>0</v>
      </c>
      <c r="E70" s="126">
        <f>污水!E17</f>
        <v>3.86</v>
      </c>
      <c r="F70" s="121"/>
      <c r="G70" s="121"/>
      <c r="H70" s="123">
        <f t="shared" si="2"/>
        <v>3.86</v>
      </c>
    </row>
    <row r="71" spans="1:8">
      <c r="A71" s="24" t="s">
        <v>186</v>
      </c>
      <c r="B71" s="26" t="s">
        <v>145</v>
      </c>
      <c r="C71" s="121" t="s">
        <v>41</v>
      </c>
      <c r="D71" s="123">
        <f>污水!C18</f>
        <v>0</v>
      </c>
      <c r="E71" s="126">
        <f>污水!E18</f>
        <v>2.03</v>
      </c>
      <c r="F71" s="121"/>
      <c r="G71" s="121"/>
      <c r="H71" s="123">
        <f t="shared" si="2"/>
        <v>2.03</v>
      </c>
    </row>
    <row r="72" spans="1:8">
      <c r="A72" s="24" t="s">
        <v>187</v>
      </c>
      <c r="B72" s="23" t="s">
        <v>188</v>
      </c>
      <c r="C72" s="121" t="s">
        <v>41</v>
      </c>
      <c r="D72" s="123">
        <f>污水!C19</f>
        <v>0</v>
      </c>
      <c r="E72" s="126">
        <f>污水!E19</f>
        <v>0.62</v>
      </c>
      <c r="F72" s="121"/>
      <c r="G72" s="121"/>
      <c r="H72" s="123">
        <f t="shared" si="2"/>
        <v>0.62</v>
      </c>
    </row>
    <row r="73" spans="1:8">
      <c r="A73" s="24" t="s">
        <v>189</v>
      </c>
      <c r="B73" s="23" t="s">
        <v>149</v>
      </c>
      <c r="C73" s="121" t="s">
        <v>41</v>
      </c>
      <c r="D73" s="123">
        <f>污水!C20</f>
        <v>0</v>
      </c>
      <c r="E73" s="126">
        <f>污水!E20</f>
        <v>1.01</v>
      </c>
      <c r="F73" s="121"/>
      <c r="G73" s="121"/>
      <c r="H73" s="123">
        <f t="shared" si="2"/>
        <v>1.01</v>
      </c>
    </row>
    <row r="74" spans="1:8">
      <c r="A74" s="24" t="s">
        <v>190</v>
      </c>
      <c r="B74" s="26" t="s">
        <v>175</v>
      </c>
      <c r="C74" s="121" t="s">
        <v>41</v>
      </c>
      <c r="D74" s="123">
        <f>污水!C21</f>
        <v>0</v>
      </c>
      <c r="E74" s="126">
        <f>污水!E21</f>
        <v>2.3</v>
      </c>
      <c r="F74" s="121"/>
      <c r="G74" s="121"/>
      <c r="H74" s="123">
        <f t="shared" si="2"/>
        <v>2.3</v>
      </c>
    </row>
    <row r="75" spans="1:8">
      <c r="A75" s="24" t="s">
        <v>24</v>
      </c>
      <c r="B75" s="23" t="s">
        <v>33</v>
      </c>
      <c r="C75" s="121" t="s">
        <v>41</v>
      </c>
      <c r="D75" s="123">
        <f>污水!C22</f>
        <v>0</v>
      </c>
      <c r="E75" s="126">
        <f>污水!E22</f>
        <v>1.5</v>
      </c>
      <c r="F75" s="121"/>
      <c r="G75" s="121"/>
      <c r="H75" s="123">
        <f t="shared" si="2"/>
        <v>1.5</v>
      </c>
    </row>
    <row r="76" spans="1:8">
      <c r="A76" s="121" t="s">
        <v>43</v>
      </c>
      <c r="B76" s="121" t="s">
        <v>44</v>
      </c>
      <c r="C76" s="121" t="s">
        <v>45</v>
      </c>
      <c r="D76" s="123">
        <f>液氧!C5</f>
        <v>31.83</v>
      </c>
      <c r="E76" s="123">
        <f>液氧!E5</f>
        <v>63.4</v>
      </c>
      <c r="F76" s="121"/>
      <c r="G76" s="121"/>
      <c r="H76" s="123">
        <f t="shared" si="2"/>
        <v>95.23</v>
      </c>
    </row>
    <row r="77" spans="1:8">
      <c r="A77" s="124">
        <v>1</v>
      </c>
      <c r="B77" s="125" t="s">
        <v>14</v>
      </c>
      <c r="C77" s="121" t="s">
        <v>45</v>
      </c>
      <c r="D77" s="126">
        <f>液氧!C6</f>
        <v>25.8</v>
      </c>
      <c r="E77" s="123">
        <f>液氧!E6</f>
        <v>0</v>
      </c>
      <c r="F77" s="121"/>
      <c r="G77" s="121"/>
      <c r="H77" s="123">
        <f t="shared" si="2"/>
        <v>25.8</v>
      </c>
    </row>
    <row r="78" spans="1:8">
      <c r="A78" s="24">
        <v>2</v>
      </c>
      <c r="B78" s="23" t="s">
        <v>15</v>
      </c>
      <c r="C78" s="121" t="s">
        <v>45</v>
      </c>
      <c r="D78" s="126">
        <f>液氧!C7</f>
        <v>6.03</v>
      </c>
      <c r="E78" s="123">
        <f>液氧!E7</f>
        <v>0</v>
      </c>
      <c r="F78" s="121"/>
      <c r="G78" s="121"/>
      <c r="H78" s="123">
        <f t="shared" si="2"/>
        <v>6.03</v>
      </c>
    </row>
    <row r="79" spans="1:8">
      <c r="A79" s="24" t="s">
        <v>16</v>
      </c>
      <c r="B79" s="23" t="s">
        <v>17</v>
      </c>
      <c r="C79" s="121" t="s">
        <v>45</v>
      </c>
      <c r="D79" s="123">
        <f>液氧!C8</f>
        <v>0</v>
      </c>
      <c r="E79" s="126">
        <f>液氧!E8</f>
        <v>0.28</v>
      </c>
      <c r="F79" s="121"/>
      <c r="G79" s="121"/>
      <c r="H79" s="123">
        <f t="shared" si="2"/>
        <v>0.28</v>
      </c>
    </row>
    <row r="80" spans="1:8">
      <c r="A80" s="24" t="s">
        <v>18</v>
      </c>
      <c r="B80" s="23" t="s">
        <v>19</v>
      </c>
      <c r="C80" s="121" t="s">
        <v>45</v>
      </c>
      <c r="D80" s="123">
        <f>液氧!C9</f>
        <v>0</v>
      </c>
      <c r="E80" s="126">
        <f>液氧!E9</f>
        <v>1.45</v>
      </c>
      <c r="F80" s="121"/>
      <c r="G80" s="121"/>
      <c r="H80" s="123">
        <f t="shared" si="2"/>
        <v>1.45</v>
      </c>
    </row>
    <row r="81" spans="1:8">
      <c r="A81" s="24" t="s">
        <v>120</v>
      </c>
      <c r="B81" s="23" t="s">
        <v>121</v>
      </c>
      <c r="C81" s="121" t="s">
        <v>45</v>
      </c>
      <c r="D81" s="123">
        <f>液氧!C10</f>
        <v>0</v>
      </c>
      <c r="E81" s="126">
        <f>液氧!E10</f>
        <v>0.33</v>
      </c>
      <c r="F81" s="121"/>
      <c r="G81" s="121"/>
      <c r="H81" s="123">
        <f t="shared" si="2"/>
        <v>0.33</v>
      </c>
    </row>
    <row r="82" spans="1:8">
      <c r="A82" s="24" t="s">
        <v>122</v>
      </c>
      <c r="B82" s="23" t="s">
        <v>123</v>
      </c>
      <c r="C82" s="121" t="s">
        <v>45</v>
      </c>
      <c r="D82" s="123">
        <f>液氧!C11</f>
        <v>0</v>
      </c>
      <c r="E82" s="126">
        <f>液氧!E11</f>
        <v>1.12</v>
      </c>
      <c r="F82" s="121"/>
      <c r="G82" s="121"/>
      <c r="H82" s="123">
        <f t="shared" si="2"/>
        <v>1.12</v>
      </c>
    </row>
    <row r="83" spans="1:8">
      <c r="A83" s="24" t="s">
        <v>20</v>
      </c>
      <c r="B83" s="23" t="s">
        <v>21</v>
      </c>
      <c r="C83" s="121" t="s">
        <v>45</v>
      </c>
      <c r="D83" s="123">
        <f>液氧!C12</f>
        <v>0</v>
      </c>
      <c r="E83" s="126">
        <f>液氧!E12</f>
        <v>54.17</v>
      </c>
      <c r="F83" s="121"/>
      <c r="G83" s="121"/>
      <c r="H83" s="123">
        <f t="shared" si="2"/>
        <v>54.17</v>
      </c>
    </row>
    <row r="84" spans="1:8">
      <c r="A84" s="24" t="s">
        <v>124</v>
      </c>
      <c r="B84" s="23" t="s">
        <v>127</v>
      </c>
      <c r="C84" s="121" t="s">
        <v>45</v>
      </c>
      <c r="D84" s="123">
        <f>液氧!C13</f>
        <v>0</v>
      </c>
      <c r="E84" s="126">
        <f>液氧!E13</f>
        <v>54.17</v>
      </c>
      <c r="F84" s="121"/>
      <c r="G84" s="121"/>
      <c r="H84" s="123">
        <f t="shared" si="2"/>
        <v>54.17</v>
      </c>
    </row>
    <row r="85" spans="1:8">
      <c r="A85" s="24" t="s">
        <v>22</v>
      </c>
      <c r="B85" s="23" t="s">
        <v>23</v>
      </c>
      <c r="C85" s="121" t="s">
        <v>45</v>
      </c>
      <c r="D85" s="123">
        <f>液氧!C14</f>
        <v>0</v>
      </c>
      <c r="E85" s="126">
        <f>液氧!E14</f>
        <v>2.83</v>
      </c>
      <c r="F85" s="121"/>
      <c r="G85" s="121"/>
      <c r="H85" s="123">
        <f t="shared" si="2"/>
        <v>2.83</v>
      </c>
    </row>
    <row r="86" spans="1:8">
      <c r="A86" s="24" t="s">
        <v>128</v>
      </c>
      <c r="B86" s="23" t="s">
        <v>131</v>
      </c>
      <c r="C86" s="121" t="s">
        <v>45</v>
      </c>
      <c r="D86" s="123">
        <f>液氧!C15</f>
        <v>0</v>
      </c>
      <c r="E86" s="126">
        <f>液氧!E15</f>
        <v>2.83</v>
      </c>
      <c r="F86" s="121"/>
      <c r="G86" s="121"/>
      <c r="H86" s="123">
        <f t="shared" si="2"/>
        <v>2.83</v>
      </c>
    </row>
    <row r="87" spans="1:8">
      <c r="A87" s="24" t="s">
        <v>24</v>
      </c>
      <c r="B87" s="23" t="s">
        <v>25</v>
      </c>
      <c r="C87" s="121" t="s">
        <v>45</v>
      </c>
      <c r="D87" s="123">
        <f>液氧!C16</f>
        <v>0</v>
      </c>
      <c r="E87" s="126">
        <f>液氧!E16</f>
        <v>4.37</v>
      </c>
      <c r="F87" s="121"/>
      <c r="G87" s="121"/>
      <c r="H87" s="123">
        <f t="shared" si="2"/>
        <v>4.37</v>
      </c>
    </row>
    <row r="88" spans="1:8">
      <c r="A88" s="24" t="s">
        <v>132</v>
      </c>
      <c r="B88" s="23" t="s">
        <v>141</v>
      </c>
      <c r="C88" s="121" t="s">
        <v>45</v>
      </c>
      <c r="D88" s="123">
        <f>液氧!C17</f>
        <v>0</v>
      </c>
      <c r="E88" s="126">
        <f>液氧!E17</f>
        <v>0.37</v>
      </c>
      <c r="F88" s="121"/>
      <c r="G88" s="121"/>
      <c r="H88" s="123">
        <f t="shared" si="2"/>
        <v>0.37</v>
      </c>
    </row>
    <row r="89" spans="1:8">
      <c r="A89" s="24" t="s">
        <v>134</v>
      </c>
      <c r="B89" s="23" t="s">
        <v>145</v>
      </c>
      <c r="C89" s="121" t="s">
        <v>45</v>
      </c>
      <c r="D89" s="123">
        <f>液氧!C18</f>
        <v>0</v>
      </c>
      <c r="E89" s="126">
        <f>液氧!E18</f>
        <v>2.03</v>
      </c>
      <c r="F89" s="121"/>
      <c r="G89" s="121"/>
      <c r="H89" s="123">
        <f t="shared" si="2"/>
        <v>2.03</v>
      </c>
    </row>
    <row r="90" spans="1:8">
      <c r="A90" s="24" t="s">
        <v>136</v>
      </c>
      <c r="B90" s="23" t="s">
        <v>188</v>
      </c>
      <c r="C90" s="121" t="s">
        <v>45</v>
      </c>
      <c r="D90" s="123">
        <f>液氧!C19</f>
        <v>0</v>
      </c>
      <c r="E90" s="126">
        <f>液氧!E19</f>
        <v>0.48</v>
      </c>
      <c r="F90" s="121"/>
      <c r="G90" s="121"/>
      <c r="H90" s="123">
        <f t="shared" si="2"/>
        <v>0.48</v>
      </c>
    </row>
    <row r="91" spans="1:8">
      <c r="A91" s="24" t="s">
        <v>138</v>
      </c>
      <c r="B91" s="26" t="s">
        <v>149</v>
      </c>
      <c r="C91" s="121" t="s">
        <v>45</v>
      </c>
      <c r="D91" s="123">
        <f>液氧!C20</f>
        <v>0</v>
      </c>
      <c r="E91" s="126">
        <f>液氧!E20</f>
        <v>0.72</v>
      </c>
      <c r="F91" s="121"/>
      <c r="G91" s="121"/>
      <c r="H91" s="123">
        <f t="shared" si="2"/>
        <v>0.72</v>
      </c>
    </row>
    <row r="92" spans="1:8">
      <c r="A92" s="24" t="s">
        <v>140</v>
      </c>
      <c r="B92" s="23" t="s">
        <v>175</v>
      </c>
      <c r="C92" s="121" t="s">
        <v>45</v>
      </c>
      <c r="D92" s="123">
        <f>液氧!C21</f>
        <v>0</v>
      </c>
      <c r="E92" s="126">
        <f>液氧!E21</f>
        <v>0.77</v>
      </c>
      <c r="F92" s="121"/>
      <c r="G92" s="121"/>
      <c r="H92" s="123">
        <f t="shared" si="2"/>
        <v>0.77</v>
      </c>
    </row>
    <row r="93" spans="1:8">
      <c r="A93" s="24" t="s">
        <v>26</v>
      </c>
      <c r="B93" s="23" t="s">
        <v>33</v>
      </c>
      <c r="C93" s="121" t="s">
        <v>45</v>
      </c>
      <c r="D93" s="123">
        <f>液氧!C22</f>
        <v>0</v>
      </c>
      <c r="E93" s="126">
        <f>液氧!E22</f>
        <v>0.3</v>
      </c>
      <c r="F93" s="121"/>
      <c r="G93" s="121"/>
      <c r="H93" s="123">
        <f t="shared" si="2"/>
        <v>0.3</v>
      </c>
    </row>
    <row r="94" spans="1:8">
      <c r="A94" s="127" t="s">
        <v>46</v>
      </c>
      <c r="B94" s="128" t="s">
        <v>47</v>
      </c>
      <c r="C94" s="121"/>
      <c r="D94" s="123">
        <f>SUM(D95:D98)</f>
        <v>158.04</v>
      </c>
      <c r="E94" s="123">
        <f>SUM(E95:E98)</f>
        <v>903.68</v>
      </c>
      <c r="F94" s="121"/>
      <c r="G94" s="121"/>
      <c r="H94" s="123">
        <f t="shared" si="2"/>
        <v>1061.72</v>
      </c>
    </row>
    <row r="95" spans="1:8">
      <c r="A95" s="24" t="s">
        <v>48</v>
      </c>
      <c r="B95" s="129" t="s">
        <v>49</v>
      </c>
      <c r="C95" s="121" t="s">
        <v>50</v>
      </c>
      <c r="D95" s="123">
        <f>改移!C5</f>
        <v>158.04</v>
      </c>
      <c r="E95" s="123">
        <f>改移!F5</f>
        <v>0</v>
      </c>
      <c r="F95" s="121"/>
      <c r="G95" s="121"/>
      <c r="H95" s="123">
        <f t="shared" si="2"/>
        <v>158.04</v>
      </c>
    </row>
    <row r="96" spans="1:8">
      <c r="A96" s="24" t="s">
        <v>51</v>
      </c>
      <c r="B96" s="129" t="s">
        <v>52</v>
      </c>
      <c r="C96" s="121"/>
      <c r="D96" s="123">
        <f>改移!C6</f>
        <v>0</v>
      </c>
      <c r="E96" s="123">
        <f>改移!F6</f>
        <v>328.06</v>
      </c>
      <c r="F96" s="121"/>
      <c r="G96" s="121"/>
      <c r="H96" s="123">
        <f t="shared" si="2"/>
        <v>328.06</v>
      </c>
    </row>
    <row r="97" spans="1:8">
      <c r="A97" s="24" t="s">
        <v>16</v>
      </c>
      <c r="B97" s="129" t="s">
        <v>53</v>
      </c>
      <c r="C97" s="121"/>
      <c r="D97" s="123">
        <f>改移!C7</f>
        <v>0</v>
      </c>
      <c r="E97" s="123">
        <f>改移!F7</f>
        <v>394.71</v>
      </c>
      <c r="F97" s="121"/>
      <c r="G97" s="121"/>
      <c r="H97" s="123">
        <f t="shared" si="2"/>
        <v>394.71</v>
      </c>
    </row>
    <row r="98" spans="1:8">
      <c r="A98" s="24" t="s">
        <v>18</v>
      </c>
      <c r="B98" s="129" t="s">
        <v>54</v>
      </c>
      <c r="C98" s="121"/>
      <c r="D98" s="123">
        <f>改移!C14</f>
        <v>0</v>
      </c>
      <c r="E98" s="123">
        <f>改移!F14</f>
        <v>180.91</v>
      </c>
      <c r="F98" s="121"/>
      <c r="G98" s="121"/>
      <c r="H98" s="123">
        <f t="shared" si="2"/>
        <v>180.91</v>
      </c>
    </row>
    <row r="99" spans="1:8">
      <c r="A99" s="127" t="s">
        <v>55</v>
      </c>
      <c r="B99" s="129" t="s">
        <v>56</v>
      </c>
      <c r="C99" s="121"/>
      <c r="D99" s="123">
        <f>D100+D101+SUM(D107:D111)</f>
        <v>353.74</v>
      </c>
      <c r="E99" s="123">
        <f>E100+E101+SUM(E107:E111)</f>
        <v>2338.58</v>
      </c>
      <c r="F99" s="121"/>
      <c r="G99" s="121"/>
      <c r="H99" s="123">
        <f t="shared" si="2"/>
        <v>2692.32</v>
      </c>
    </row>
    <row r="100" spans="1:8">
      <c r="A100" s="24" t="s">
        <v>48</v>
      </c>
      <c r="B100" s="129" t="s">
        <v>57</v>
      </c>
      <c r="C100" s="25"/>
      <c r="D100" s="123">
        <f>室外!C5</f>
        <v>14.74</v>
      </c>
      <c r="E100" s="123">
        <f>室外!F5</f>
        <v>0</v>
      </c>
      <c r="F100" s="121"/>
      <c r="G100" s="121"/>
      <c r="H100" s="123">
        <f t="shared" si="2"/>
        <v>14.74</v>
      </c>
    </row>
    <row r="101" spans="1:8">
      <c r="A101" s="24" t="s">
        <v>51</v>
      </c>
      <c r="B101" s="129" t="s">
        <v>58</v>
      </c>
      <c r="C101" s="25"/>
      <c r="D101" s="123">
        <f>室外!C6</f>
        <v>0</v>
      </c>
      <c r="E101" s="123">
        <f>室外!F6</f>
        <v>1088.58</v>
      </c>
      <c r="F101" s="121"/>
      <c r="G101" s="121"/>
      <c r="H101" s="123">
        <f t="shared" si="2"/>
        <v>1088.58</v>
      </c>
    </row>
    <row r="102" spans="1:8">
      <c r="A102" s="24" t="s">
        <v>191</v>
      </c>
      <c r="B102" s="129" t="s">
        <v>192</v>
      </c>
      <c r="C102" s="25"/>
      <c r="D102" s="123">
        <f>室外!C7</f>
        <v>0</v>
      </c>
      <c r="E102" s="123">
        <f>室外!F7</f>
        <v>700.74</v>
      </c>
      <c r="F102" s="121"/>
      <c r="G102" s="121"/>
      <c r="H102" s="123">
        <f t="shared" si="2"/>
        <v>700.74</v>
      </c>
    </row>
    <row r="103" spans="1:8">
      <c r="A103" s="24" t="s">
        <v>203</v>
      </c>
      <c r="B103" s="129" t="s">
        <v>127</v>
      </c>
      <c r="C103" s="25"/>
      <c r="D103" s="123">
        <f>室外!C8</f>
        <v>0</v>
      </c>
      <c r="E103" s="123">
        <f>室外!F8</f>
        <v>5.76</v>
      </c>
      <c r="F103" s="121"/>
      <c r="G103" s="121"/>
      <c r="H103" s="123">
        <f t="shared" si="2"/>
        <v>5.76</v>
      </c>
    </row>
    <row r="104" spans="1:8">
      <c r="A104" s="24" t="s">
        <v>204</v>
      </c>
      <c r="B104" s="129" t="s">
        <v>125</v>
      </c>
      <c r="C104" s="25"/>
      <c r="D104" s="123">
        <f>室外!C9</f>
        <v>0</v>
      </c>
      <c r="E104" s="123">
        <f>室外!F9</f>
        <v>21.5</v>
      </c>
      <c r="F104" s="121"/>
      <c r="G104" s="121"/>
      <c r="H104" s="123">
        <f t="shared" si="2"/>
        <v>21.5</v>
      </c>
    </row>
    <row r="105" spans="1:8">
      <c r="A105" s="24" t="s">
        <v>194</v>
      </c>
      <c r="B105" s="129" t="s">
        <v>195</v>
      </c>
      <c r="C105" s="25"/>
      <c r="D105" s="123">
        <f>室外!C10</f>
        <v>0</v>
      </c>
      <c r="E105" s="123">
        <f>室外!F10</f>
        <v>262.66</v>
      </c>
      <c r="F105" s="121"/>
      <c r="G105" s="121"/>
      <c r="H105" s="123">
        <f t="shared" si="2"/>
        <v>262.66</v>
      </c>
    </row>
    <row r="106" spans="1:8">
      <c r="A106" s="24" t="s">
        <v>205</v>
      </c>
      <c r="B106" s="129" t="s">
        <v>197</v>
      </c>
      <c r="C106" s="25"/>
      <c r="D106" s="123">
        <f>室外!C11</f>
        <v>0</v>
      </c>
      <c r="E106" s="123">
        <f>室外!F11</f>
        <v>97.92</v>
      </c>
      <c r="F106" s="121"/>
      <c r="G106" s="121"/>
      <c r="H106" s="123">
        <f t="shared" si="2"/>
        <v>97.92</v>
      </c>
    </row>
    <row r="107" spans="1:8">
      <c r="A107" s="24" t="s">
        <v>16</v>
      </c>
      <c r="B107" s="129" t="s">
        <v>59</v>
      </c>
      <c r="C107" s="25"/>
      <c r="D107" s="123">
        <f>室外!C12</f>
        <v>230.46</v>
      </c>
      <c r="E107" s="123">
        <f>室外!F12</f>
        <v>0</v>
      </c>
      <c r="F107" s="121"/>
      <c r="G107" s="121"/>
      <c r="H107" s="123">
        <f t="shared" si="2"/>
        <v>230.46</v>
      </c>
    </row>
    <row r="108" spans="1:8">
      <c r="A108" s="24" t="s">
        <v>18</v>
      </c>
      <c r="B108" s="129" t="s">
        <v>60</v>
      </c>
      <c r="C108" s="25"/>
      <c r="D108" s="123">
        <f>室外!C13</f>
        <v>73.54</v>
      </c>
      <c r="E108" s="123">
        <f>室外!F13</f>
        <v>0</v>
      </c>
      <c r="F108" s="121"/>
      <c r="G108" s="121"/>
      <c r="H108" s="123">
        <f t="shared" si="2"/>
        <v>73.54</v>
      </c>
    </row>
    <row r="109" spans="1:8">
      <c r="A109" s="24" t="s">
        <v>22</v>
      </c>
      <c r="B109" s="129" t="s">
        <v>61</v>
      </c>
      <c r="C109" s="25"/>
      <c r="D109" s="123">
        <f>室外!C24</f>
        <v>0</v>
      </c>
      <c r="E109" s="123">
        <f>室外!F24</f>
        <v>50</v>
      </c>
      <c r="F109" s="121"/>
      <c r="G109" s="121"/>
      <c r="H109" s="123">
        <f t="shared" si="2"/>
        <v>50</v>
      </c>
    </row>
    <row r="110" spans="1:8">
      <c r="A110" s="24" t="s">
        <v>24</v>
      </c>
      <c r="B110" s="129" t="s">
        <v>62</v>
      </c>
      <c r="C110" s="25"/>
      <c r="D110" s="123">
        <f>室外!C25</f>
        <v>35</v>
      </c>
      <c r="E110" s="123">
        <f>室外!F25</f>
        <v>0</v>
      </c>
      <c r="F110" s="121"/>
      <c r="G110" s="121"/>
      <c r="H110" s="123">
        <f t="shared" si="2"/>
        <v>35</v>
      </c>
    </row>
    <row r="111" spans="1:8">
      <c r="A111" s="24" t="s">
        <v>26</v>
      </c>
      <c r="B111" s="129" t="s">
        <v>63</v>
      </c>
      <c r="C111" s="25"/>
      <c r="D111" s="123">
        <f>室外!C26</f>
        <v>0</v>
      </c>
      <c r="E111" s="123">
        <f>室外!F26</f>
        <v>1200</v>
      </c>
      <c r="F111" s="121"/>
      <c r="G111" s="121"/>
      <c r="H111" s="123">
        <f t="shared" si="2"/>
        <v>1200</v>
      </c>
    </row>
    <row r="112" spans="1:8">
      <c r="A112" s="127" t="s">
        <v>64</v>
      </c>
      <c r="B112" s="129" t="s">
        <v>65</v>
      </c>
      <c r="C112" s="121"/>
      <c r="D112" s="121"/>
      <c r="E112" s="121"/>
      <c r="F112" s="121"/>
      <c r="G112" s="123">
        <f>SUM(G113:G117)+SUM(G121:G143)</f>
        <v>3933.48</v>
      </c>
      <c r="H112" s="123">
        <f t="shared" si="2"/>
        <v>3933.48</v>
      </c>
    </row>
    <row r="113" ht="27" spans="1:8">
      <c r="A113" s="130">
        <v>1</v>
      </c>
      <c r="B113" s="131" t="s">
        <v>66</v>
      </c>
      <c r="C113" s="121"/>
      <c r="D113" s="121"/>
      <c r="E113" s="121"/>
      <c r="F113" s="121"/>
      <c r="G113" s="126">
        <f>其他1!E6</f>
        <v>27.8</v>
      </c>
      <c r="H113" s="123">
        <f t="shared" si="2"/>
        <v>27.8</v>
      </c>
    </row>
    <row r="114" spans="1:10">
      <c r="A114" s="130">
        <v>2</v>
      </c>
      <c r="B114" s="131" t="s">
        <v>67</v>
      </c>
      <c r="C114" s="121"/>
      <c r="D114" s="121"/>
      <c r="E114" s="121"/>
      <c r="F114" s="121"/>
      <c r="G114" s="126">
        <f>其他1!E7+其他2!E6</f>
        <v>1032.35</v>
      </c>
      <c r="H114" s="123">
        <f t="shared" si="2"/>
        <v>1032.35</v>
      </c>
      <c r="I114">
        <v>978</v>
      </c>
      <c r="J114">
        <v>54.35</v>
      </c>
    </row>
    <row r="115" spans="1:8">
      <c r="A115" s="130">
        <v>3</v>
      </c>
      <c r="B115" s="131" t="s">
        <v>68</v>
      </c>
      <c r="C115" s="121"/>
      <c r="D115" s="121"/>
      <c r="E115" s="121"/>
      <c r="F115" s="121"/>
      <c r="G115" s="126">
        <f>其他1!E8</f>
        <v>14.9</v>
      </c>
      <c r="H115" s="123">
        <f t="shared" si="2"/>
        <v>14.9</v>
      </c>
    </row>
    <row r="116" spans="1:8">
      <c r="A116" s="130">
        <v>4</v>
      </c>
      <c r="B116" s="131" t="s">
        <v>69</v>
      </c>
      <c r="C116" s="121"/>
      <c r="D116" s="121"/>
      <c r="E116" s="121"/>
      <c r="F116" s="121"/>
      <c r="G116" s="126">
        <f>其他1!E9</f>
        <v>29.6</v>
      </c>
      <c r="H116" s="123">
        <f t="shared" si="2"/>
        <v>29.6</v>
      </c>
    </row>
    <row r="117" spans="1:10">
      <c r="A117" s="130">
        <v>5</v>
      </c>
      <c r="B117" s="131" t="s">
        <v>70</v>
      </c>
      <c r="C117" s="121"/>
      <c r="D117" s="121"/>
      <c r="E117" s="121"/>
      <c r="F117" s="121"/>
      <c r="G117" s="126">
        <f>其他1!E10+其他2!E7</f>
        <v>61.81</v>
      </c>
      <c r="H117" s="123">
        <f t="shared" si="2"/>
        <v>61.81</v>
      </c>
      <c r="I117">
        <v>54.82</v>
      </c>
      <c r="J117">
        <v>6.92</v>
      </c>
    </row>
    <row r="118" spans="1:10">
      <c r="A118" s="130">
        <v>5.1</v>
      </c>
      <c r="B118" s="131" t="s">
        <v>198</v>
      </c>
      <c r="C118" s="121"/>
      <c r="D118" s="121"/>
      <c r="E118" s="121"/>
      <c r="F118" s="121"/>
      <c r="G118" s="126">
        <f>其他1!E12+其他2!E9</f>
        <v>47.78</v>
      </c>
      <c r="H118" s="123">
        <f t="shared" si="2"/>
        <v>47.78</v>
      </c>
      <c r="I118">
        <v>43.8</v>
      </c>
      <c r="J118">
        <v>3.92</v>
      </c>
    </row>
    <row r="119" spans="1:10">
      <c r="A119" s="130">
        <v>5.2</v>
      </c>
      <c r="B119" s="131" t="s">
        <v>199</v>
      </c>
      <c r="C119" s="121"/>
      <c r="D119" s="121"/>
      <c r="E119" s="121"/>
      <c r="F119" s="121"/>
      <c r="G119" s="126">
        <f>其他1!E13+其他2!E10</f>
        <v>8.46</v>
      </c>
      <c r="H119" s="123">
        <f t="shared" si="2"/>
        <v>8.46</v>
      </c>
      <c r="I119">
        <v>6.96</v>
      </c>
      <c r="J119">
        <v>1.5</v>
      </c>
    </row>
    <row r="120" spans="1:10">
      <c r="A120" s="130">
        <v>5.3</v>
      </c>
      <c r="B120" s="131" t="s">
        <v>200</v>
      </c>
      <c r="C120" s="121"/>
      <c r="D120" s="121"/>
      <c r="E120" s="121"/>
      <c r="F120" s="121"/>
      <c r="G120" s="126">
        <f>其他1!E14+其他2!E11</f>
        <v>5.57</v>
      </c>
      <c r="H120" s="123">
        <f t="shared" si="2"/>
        <v>5.57</v>
      </c>
      <c r="I120">
        <v>4.06</v>
      </c>
      <c r="J120">
        <v>1.5</v>
      </c>
    </row>
    <row r="121" ht="27" spans="1:8">
      <c r="A121" s="130">
        <v>6</v>
      </c>
      <c r="B121" s="131" t="s">
        <v>71</v>
      </c>
      <c r="C121" s="121"/>
      <c r="D121" s="121"/>
      <c r="E121" s="121"/>
      <c r="F121" s="121"/>
      <c r="G121" s="126">
        <f>其他1!E15</f>
        <v>20.43</v>
      </c>
      <c r="H121" s="123">
        <f t="shared" si="2"/>
        <v>20.43</v>
      </c>
    </row>
    <row r="122" spans="1:10">
      <c r="A122" s="130">
        <v>7</v>
      </c>
      <c r="B122" s="131" t="s">
        <v>72</v>
      </c>
      <c r="C122" s="121"/>
      <c r="D122" s="121"/>
      <c r="E122" s="121"/>
      <c r="F122" s="121"/>
      <c r="G122" s="126">
        <f>其他1!E16+其他2!E12</f>
        <v>469.53</v>
      </c>
      <c r="H122" s="123">
        <f t="shared" si="2"/>
        <v>469.53</v>
      </c>
      <c r="I122">
        <v>419.95</v>
      </c>
      <c r="J122">
        <v>48.67</v>
      </c>
    </row>
    <row r="123" spans="1:8">
      <c r="A123" s="130">
        <v>8</v>
      </c>
      <c r="B123" s="131" t="s">
        <v>73</v>
      </c>
      <c r="C123" s="121"/>
      <c r="D123" s="121"/>
      <c r="E123" s="121"/>
      <c r="F123" s="121"/>
      <c r="G123" s="126">
        <f>其他1!E18</f>
        <v>30</v>
      </c>
      <c r="H123" s="123">
        <f t="shared" si="2"/>
        <v>30</v>
      </c>
    </row>
    <row r="124" spans="1:10">
      <c r="A124" s="130">
        <v>9</v>
      </c>
      <c r="B124" s="131" t="s">
        <v>74</v>
      </c>
      <c r="C124" s="121"/>
      <c r="D124" s="121"/>
      <c r="E124" s="121"/>
      <c r="F124" s="121"/>
      <c r="G124" s="126">
        <f>其他1!E19+其他2!E14</f>
        <v>254.09</v>
      </c>
      <c r="H124" s="123">
        <f t="shared" si="2"/>
        <v>254.09</v>
      </c>
      <c r="I124">
        <v>256</v>
      </c>
      <c r="J124">
        <v>36.49</v>
      </c>
    </row>
    <row r="125" spans="1:10">
      <c r="A125" s="130">
        <v>10</v>
      </c>
      <c r="B125" s="131" t="s">
        <v>75</v>
      </c>
      <c r="C125" s="121"/>
      <c r="D125" s="121"/>
      <c r="E125" s="121"/>
      <c r="F125" s="121"/>
      <c r="G125" s="126">
        <f>其他1!E20+其他2!E15</f>
        <v>100.16</v>
      </c>
      <c r="H125" s="123">
        <f t="shared" si="2"/>
        <v>100.16</v>
      </c>
      <c r="I125">
        <v>195.21</v>
      </c>
      <c r="J125">
        <v>8.41</v>
      </c>
    </row>
    <row r="126" spans="1:10">
      <c r="A126" s="130">
        <v>11</v>
      </c>
      <c r="B126" s="131" t="s">
        <v>201</v>
      </c>
      <c r="C126" s="121"/>
      <c r="D126" s="121"/>
      <c r="E126" s="121"/>
      <c r="F126" s="121"/>
      <c r="G126" s="126">
        <f>其他1!E21+其他2!E16</f>
        <v>0</v>
      </c>
      <c r="H126" s="123">
        <f t="shared" si="2"/>
        <v>0</v>
      </c>
      <c r="I126">
        <v>204.57</v>
      </c>
      <c r="J126">
        <v>5.7</v>
      </c>
    </row>
    <row r="127" ht="27" spans="1:10">
      <c r="A127" s="130">
        <v>12</v>
      </c>
      <c r="B127" s="131" t="s">
        <v>76</v>
      </c>
      <c r="C127" s="121"/>
      <c r="D127" s="121"/>
      <c r="E127" s="121"/>
      <c r="F127" s="121"/>
      <c r="G127" s="126">
        <f>其他1!E22+其他2!E17</f>
        <v>225.37</v>
      </c>
      <c r="H127" s="123">
        <f t="shared" si="2"/>
        <v>225.37</v>
      </c>
      <c r="I127">
        <v>156.79</v>
      </c>
      <c r="J127">
        <v>5.26</v>
      </c>
    </row>
    <row r="128" spans="1:10">
      <c r="A128" s="130">
        <v>13</v>
      </c>
      <c r="B128" s="131" t="s">
        <v>77</v>
      </c>
      <c r="C128" s="121"/>
      <c r="D128" s="121"/>
      <c r="E128" s="121"/>
      <c r="F128" s="121"/>
      <c r="G128" s="126">
        <f>其他1!E23+其他2!E18</f>
        <v>42.99</v>
      </c>
      <c r="H128" s="123">
        <f t="shared" si="2"/>
        <v>42.99</v>
      </c>
      <c r="I128">
        <v>48.27</v>
      </c>
      <c r="J128">
        <v>1.86</v>
      </c>
    </row>
    <row r="129" spans="1:8">
      <c r="A129" s="130">
        <v>14</v>
      </c>
      <c r="B129" s="131" t="s">
        <v>202</v>
      </c>
      <c r="C129" s="121"/>
      <c r="D129" s="121"/>
      <c r="E129" s="121"/>
      <c r="F129" s="121"/>
      <c r="G129" s="126">
        <f>其他1!E24</f>
        <v>0</v>
      </c>
      <c r="H129" s="123">
        <f t="shared" si="2"/>
        <v>0</v>
      </c>
    </row>
    <row r="130" spans="1:8">
      <c r="A130" s="130">
        <v>15</v>
      </c>
      <c r="B130" s="131" t="s">
        <v>78</v>
      </c>
      <c r="C130" s="121"/>
      <c r="D130" s="121"/>
      <c r="E130" s="121"/>
      <c r="F130" s="121"/>
      <c r="G130" s="126">
        <f>其他1!E25</f>
        <v>226.8</v>
      </c>
      <c r="H130" s="123">
        <f t="shared" si="2"/>
        <v>226.8</v>
      </c>
    </row>
    <row r="131" spans="1:10">
      <c r="A131" s="130">
        <v>16</v>
      </c>
      <c r="B131" s="131" t="s">
        <v>79</v>
      </c>
      <c r="C131" s="121"/>
      <c r="D131" s="121"/>
      <c r="E131" s="121"/>
      <c r="F131" s="121"/>
      <c r="G131" s="126">
        <f>其他1!E26+其他2!E19</f>
        <v>254.51</v>
      </c>
      <c r="H131" s="123">
        <f t="shared" si="2"/>
        <v>254.51</v>
      </c>
      <c r="I131">
        <v>253.16</v>
      </c>
      <c r="J131">
        <v>1.35</v>
      </c>
    </row>
    <row r="132" spans="1:8">
      <c r="A132" s="130">
        <v>17</v>
      </c>
      <c r="B132" s="131" t="s">
        <v>80</v>
      </c>
      <c r="C132" s="121"/>
      <c r="D132" s="121"/>
      <c r="E132" s="121"/>
      <c r="F132" s="121"/>
      <c r="G132" s="126">
        <f>其他1!E27</f>
        <v>120</v>
      </c>
      <c r="H132" s="123">
        <f t="shared" si="2"/>
        <v>120</v>
      </c>
    </row>
    <row r="133" spans="1:8">
      <c r="A133" s="130">
        <v>18</v>
      </c>
      <c r="B133" s="131" t="s">
        <v>81</v>
      </c>
      <c r="C133" s="121"/>
      <c r="D133" s="121"/>
      <c r="E133" s="121"/>
      <c r="F133" s="121"/>
      <c r="G133" s="126">
        <f>其他1!E28</f>
        <v>6.6</v>
      </c>
      <c r="H133" s="123">
        <f t="shared" ref="H133:H148" si="3">SUM(D133:G133)</f>
        <v>6.6</v>
      </c>
    </row>
    <row r="134" spans="1:8">
      <c r="A134" s="130">
        <v>19</v>
      </c>
      <c r="B134" s="131" t="s">
        <v>82</v>
      </c>
      <c r="C134" s="121"/>
      <c r="D134" s="121"/>
      <c r="E134" s="121"/>
      <c r="F134" s="121"/>
      <c r="G134" s="126">
        <f>其他1!E30</f>
        <v>7.9</v>
      </c>
      <c r="H134" s="123">
        <f t="shared" si="3"/>
        <v>7.9</v>
      </c>
    </row>
    <row r="135" spans="1:8">
      <c r="A135" s="130">
        <v>20</v>
      </c>
      <c r="B135" s="131" t="s">
        <v>83</v>
      </c>
      <c r="C135" s="121"/>
      <c r="D135" s="121"/>
      <c r="E135" s="121"/>
      <c r="F135" s="121"/>
      <c r="G135" s="126">
        <f>其他1!E31</f>
        <v>8</v>
      </c>
      <c r="H135" s="123">
        <f t="shared" si="3"/>
        <v>8</v>
      </c>
    </row>
    <row r="136" spans="1:8">
      <c r="A136" s="130">
        <v>21</v>
      </c>
      <c r="B136" s="131" t="s">
        <v>84</v>
      </c>
      <c r="C136" s="121"/>
      <c r="D136" s="121"/>
      <c r="E136" s="121"/>
      <c r="F136" s="121"/>
      <c r="G136" s="126">
        <f>其他1!E32</f>
        <v>43.44</v>
      </c>
      <c r="H136" s="123">
        <f t="shared" si="3"/>
        <v>43.44</v>
      </c>
    </row>
    <row r="137" spans="1:8">
      <c r="A137" s="130">
        <v>22</v>
      </c>
      <c r="B137" s="131" t="s">
        <v>85</v>
      </c>
      <c r="C137" s="121"/>
      <c r="D137" s="121"/>
      <c r="E137" s="121"/>
      <c r="F137" s="121"/>
      <c r="G137" s="126">
        <f>其他1!E33</f>
        <v>144.79</v>
      </c>
      <c r="H137" s="123">
        <f t="shared" si="3"/>
        <v>144.79</v>
      </c>
    </row>
    <row r="138" spans="1:8">
      <c r="A138" s="130">
        <v>23</v>
      </c>
      <c r="B138" s="131" t="s">
        <v>86</v>
      </c>
      <c r="C138" s="121"/>
      <c r="D138" s="121"/>
      <c r="E138" s="121"/>
      <c r="F138" s="121"/>
      <c r="G138" s="126">
        <f>其他1!E34</f>
        <v>20</v>
      </c>
      <c r="H138" s="123">
        <f t="shared" si="3"/>
        <v>20</v>
      </c>
    </row>
    <row r="139" spans="1:8">
      <c r="A139" s="130">
        <v>24</v>
      </c>
      <c r="B139" s="131" t="s">
        <v>87</v>
      </c>
      <c r="C139" s="121"/>
      <c r="D139" s="121"/>
      <c r="E139" s="121"/>
      <c r="F139" s="121"/>
      <c r="G139" s="126">
        <f>其他1!E35</f>
        <v>10</v>
      </c>
      <c r="H139" s="123">
        <f t="shared" si="3"/>
        <v>10</v>
      </c>
    </row>
    <row r="140" spans="1:8">
      <c r="A140" s="130">
        <v>25</v>
      </c>
      <c r="B140" s="131" t="s">
        <v>88</v>
      </c>
      <c r="C140" s="121"/>
      <c r="D140" s="121"/>
      <c r="E140" s="121"/>
      <c r="F140" s="121"/>
      <c r="G140" s="126">
        <f>其他1!E36</f>
        <v>64</v>
      </c>
      <c r="H140" s="123">
        <f t="shared" si="3"/>
        <v>64</v>
      </c>
    </row>
    <row r="141" spans="1:8">
      <c r="A141" s="130">
        <v>26</v>
      </c>
      <c r="B141" s="131" t="s">
        <v>89</v>
      </c>
      <c r="C141" s="121"/>
      <c r="D141" s="121"/>
      <c r="E141" s="121"/>
      <c r="F141" s="121"/>
      <c r="G141" s="126">
        <f>其他1!E37</f>
        <v>702.81</v>
      </c>
      <c r="H141" s="123">
        <f t="shared" si="3"/>
        <v>702.81</v>
      </c>
    </row>
    <row r="142" spans="1:8">
      <c r="A142" s="130">
        <v>27</v>
      </c>
      <c r="B142" s="131" t="s">
        <v>90</v>
      </c>
      <c r="C142" s="121"/>
      <c r="D142" s="121"/>
      <c r="E142" s="121"/>
      <c r="F142" s="121"/>
      <c r="G142" s="126">
        <f>其他1!E38</f>
        <v>15</v>
      </c>
      <c r="H142" s="123">
        <f t="shared" si="3"/>
        <v>15</v>
      </c>
    </row>
    <row r="143" spans="1:8">
      <c r="A143" s="80">
        <v>28</v>
      </c>
      <c r="B143" s="81" t="s">
        <v>91</v>
      </c>
      <c r="C143" s="121"/>
      <c r="D143" s="121"/>
      <c r="E143" s="121"/>
      <c r="F143" s="121"/>
      <c r="G143" s="126">
        <f>其他2!E20</f>
        <v>0.6</v>
      </c>
      <c r="H143" s="123">
        <f t="shared" si="3"/>
        <v>0.6</v>
      </c>
    </row>
    <row r="144" spans="1:8">
      <c r="A144" s="121" t="s">
        <v>92</v>
      </c>
      <c r="B144" s="81" t="s">
        <v>93</v>
      </c>
      <c r="C144" s="121"/>
      <c r="D144" s="121"/>
      <c r="E144" s="121"/>
      <c r="F144" s="121"/>
      <c r="G144" s="121">
        <f>G145</f>
        <v>1932.45</v>
      </c>
      <c r="H144" s="123">
        <f t="shared" si="3"/>
        <v>1932.45</v>
      </c>
    </row>
    <row r="145" spans="1:8">
      <c r="A145" s="80">
        <v>1</v>
      </c>
      <c r="B145" s="81" t="s">
        <v>94</v>
      </c>
      <c r="C145" s="121"/>
      <c r="D145" s="121"/>
      <c r="E145" s="121"/>
      <c r="F145" s="121"/>
      <c r="G145" s="121">
        <f>1873.08+59.37</f>
        <v>1932.45</v>
      </c>
      <c r="H145" s="123">
        <f t="shared" si="3"/>
        <v>1932.45</v>
      </c>
    </row>
    <row r="146" spans="1:8">
      <c r="A146" s="121" t="s">
        <v>95</v>
      </c>
      <c r="B146" s="81" t="s">
        <v>96</v>
      </c>
      <c r="C146" s="121"/>
      <c r="D146" s="121"/>
      <c r="E146" s="121"/>
      <c r="F146" s="121"/>
      <c r="G146" s="121">
        <v>1800</v>
      </c>
      <c r="H146" s="123">
        <f t="shared" si="3"/>
        <v>1800</v>
      </c>
    </row>
    <row r="147" spans="1:8">
      <c r="A147" s="121" t="s">
        <v>97</v>
      </c>
      <c r="B147" s="81" t="s">
        <v>98</v>
      </c>
      <c r="C147" s="121"/>
      <c r="D147" s="121"/>
      <c r="E147" s="121"/>
      <c r="F147" s="121"/>
      <c r="G147" s="121">
        <v>2352</v>
      </c>
      <c r="H147" s="123">
        <f t="shared" si="3"/>
        <v>2352</v>
      </c>
    </row>
    <row r="148" spans="1:8">
      <c r="A148" s="121" t="s">
        <v>99</v>
      </c>
      <c r="B148" s="81" t="s">
        <v>100</v>
      </c>
      <c r="C148" s="121">
        <f>C3+C112+C144+C146+C147</f>
        <v>0</v>
      </c>
      <c r="D148" s="121">
        <f t="shared" ref="D148:G148" si="4">D3+D112+D144+D146+D147</f>
        <v>29179.93</v>
      </c>
      <c r="E148" s="121">
        <f t="shared" si="4"/>
        <v>19995.52</v>
      </c>
      <c r="F148" s="121">
        <f t="shared" si="4"/>
        <v>906.02</v>
      </c>
      <c r="G148" s="121">
        <f t="shared" si="4"/>
        <v>10017.93</v>
      </c>
      <c r="H148" s="123">
        <f t="shared" si="3"/>
        <v>60099.4</v>
      </c>
    </row>
  </sheetData>
  <mergeCells count="1">
    <mergeCell ref="A1:H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E34" sqref="E34"/>
    </sheetView>
  </sheetViews>
  <sheetFormatPr defaultColWidth="10" defaultRowHeight="15.75"/>
  <cols>
    <col min="1" max="1" width="7.5" style="102" customWidth="true"/>
    <col min="2" max="2" width="17.375" style="103" customWidth="true"/>
    <col min="3" max="3" width="12" style="103" customWidth="true"/>
    <col min="4" max="4" width="11" style="103" hidden="true" customWidth="true"/>
    <col min="5" max="6" width="11.875" style="103" customWidth="true"/>
    <col min="7" max="7" width="12.125" style="103" customWidth="true"/>
    <col min="8" max="8" width="10.25" style="103" customWidth="true"/>
    <col min="9" max="9" width="5.375" style="103" customWidth="true"/>
    <col min="10" max="10" width="10.375" style="104" customWidth="true"/>
    <col min="11" max="11" width="8.5" style="103" customWidth="true"/>
    <col min="12" max="12" width="9.875" style="103" customWidth="true"/>
    <col min="13" max="13" width="11.25" style="103" customWidth="true"/>
    <col min="14" max="15" width="10" style="11"/>
    <col min="16" max="16" width="12.75" style="11" customWidth="true"/>
    <col min="17" max="16384" width="10" style="11"/>
  </cols>
  <sheetData>
    <row r="1" s="99" customFormat="true" ht="21.75" spans="1:13">
      <c r="A1" s="12" t="s">
        <v>206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100" customFormat="true" ht="13.5" spans="1:13">
      <c r="A2" s="116" t="s">
        <v>207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5"/>
      <c r="M2" s="115"/>
    </row>
    <row r="3" s="101" customFormat="true" ht="14.25" customHeight="true" spans="1:13">
      <c r="A3" s="107" t="s">
        <v>1</v>
      </c>
      <c r="B3" s="35" t="s">
        <v>208</v>
      </c>
      <c r="C3" s="16" t="s">
        <v>209</v>
      </c>
      <c r="D3" s="16"/>
      <c r="E3" s="16"/>
      <c r="F3" s="16"/>
      <c r="G3" s="16"/>
      <c r="H3" s="16" t="s">
        <v>210</v>
      </c>
      <c r="I3" s="16"/>
      <c r="J3" s="16"/>
      <c r="K3" s="16"/>
      <c r="L3" s="16"/>
      <c r="M3" s="35" t="s">
        <v>211</v>
      </c>
    </row>
    <row r="4" s="101" customFormat="true" ht="22.5" spans="1:13">
      <c r="A4" s="108"/>
      <c r="B4" s="38"/>
      <c r="C4" s="16" t="s">
        <v>212</v>
      </c>
      <c r="D4" s="16" t="s">
        <v>213</v>
      </c>
      <c r="E4" s="16" t="s">
        <v>213</v>
      </c>
      <c r="F4" s="16" t="s">
        <v>5</v>
      </c>
      <c r="G4" s="16" t="s">
        <v>8</v>
      </c>
      <c r="H4" s="16" t="s">
        <v>214</v>
      </c>
      <c r="I4" s="16" t="s">
        <v>215</v>
      </c>
      <c r="J4" s="36" t="s">
        <v>216</v>
      </c>
      <c r="K4" s="37" t="s">
        <v>217</v>
      </c>
      <c r="L4" s="16" t="s">
        <v>218</v>
      </c>
      <c r="M4" s="38"/>
    </row>
    <row r="5" s="5" customFormat="true" ht="13.5" spans="1:13">
      <c r="A5" s="24" t="s">
        <v>48</v>
      </c>
      <c r="B5" s="109" t="s">
        <v>57</v>
      </c>
      <c r="C5" s="25">
        <f>J5*K5/10000</f>
        <v>14.74</v>
      </c>
      <c r="D5" s="25"/>
      <c r="E5" s="25"/>
      <c r="F5" s="25"/>
      <c r="G5" s="25">
        <f>C5+E5+F5</f>
        <v>14.74</v>
      </c>
      <c r="H5" s="112" t="s">
        <v>219</v>
      </c>
      <c r="I5" s="33" t="s">
        <v>220</v>
      </c>
      <c r="J5" s="43">
        <f>6968.7+400</f>
        <v>7368.7</v>
      </c>
      <c r="K5" s="25">
        <v>20</v>
      </c>
      <c r="L5" s="45">
        <f t="shared" ref="L5:L27" si="0">G5/$G$27</f>
        <v>0.0055</v>
      </c>
      <c r="M5" s="26"/>
    </row>
    <row r="6" s="5" customFormat="true" ht="13.5" spans="1:13">
      <c r="A6" s="24" t="s">
        <v>51</v>
      </c>
      <c r="B6" s="109" t="s">
        <v>58</v>
      </c>
      <c r="C6" s="25"/>
      <c r="D6" s="25"/>
      <c r="E6" s="25"/>
      <c r="F6" s="25">
        <f>F7+F8+F9+F10+F11</f>
        <v>1088.58</v>
      </c>
      <c r="G6" s="25">
        <f t="shared" ref="G6:G27" si="1">C6+E6+F6</f>
        <v>1088.58</v>
      </c>
      <c r="H6" s="112"/>
      <c r="I6" s="33"/>
      <c r="J6" s="43"/>
      <c r="K6" s="25"/>
      <c r="L6" s="45">
        <f t="shared" si="0"/>
        <v>0.4043</v>
      </c>
      <c r="M6" s="26"/>
    </row>
    <row r="7" s="5" customFormat="true" ht="13.5" spans="1:15">
      <c r="A7" s="24" t="s">
        <v>191</v>
      </c>
      <c r="B7" s="109" t="s">
        <v>192</v>
      </c>
      <c r="C7" s="25"/>
      <c r="D7" s="25"/>
      <c r="E7" s="25"/>
      <c r="F7" s="25">
        <f>O7/10000</f>
        <v>700.74</v>
      </c>
      <c r="G7" s="25">
        <f t="shared" si="1"/>
        <v>700.74</v>
      </c>
      <c r="H7" s="112"/>
      <c r="I7" s="33"/>
      <c r="J7" s="43"/>
      <c r="K7" s="25"/>
      <c r="L7" s="45">
        <f t="shared" si="0"/>
        <v>0.2603</v>
      </c>
      <c r="M7" s="26"/>
      <c r="O7" s="48">
        <f>[1]Sheet3!E47</f>
        <v>7007426.29</v>
      </c>
    </row>
    <row r="8" s="5" customFormat="true" ht="13.5" spans="1:15">
      <c r="A8" s="24" t="s">
        <v>203</v>
      </c>
      <c r="B8" s="109" t="s">
        <v>127</v>
      </c>
      <c r="C8" s="25"/>
      <c r="D8" s="25"/>
      <c r="E8" s="25"/>
      <c r="F8" s="25">
        <f>O8/10000</f>
        <v>5.76</v>
      </c>
      <c r="G8" s="25">
        <f t="shared" si="1"/>
        <v>5.76</v>
      </c>
      <c r="H8" s="112"/>
      <c r="I8" s="33"/>
      <c r="J8" s="43"/>
      <c r="K8" s="25"/>
      <c r="L8" s="45">
        <f t="shared" si="0"/>
        <v>0.0021</v>
      </c>
      <c r="M8" s="26"/>
      <c r="O8" s="48">
        <f>[1]Sheet3!E48</f>
        <v>57630.55</v>
      </c>
    </row>
    <row r="9" s="5" customFormat="true" ht="13.5" spans="1:15">
      <c r="A9" s="24" t="s">
        <v>204</v>
      </c>
      <c r="B9" s="109" t="s">
        <v>125</v>
      </c>
      <c r="C9" s="25"/>
      <c r="D9" s="25"/>
      <c r="E9" s="25"/>
      <c r="F9" s="25">
        <f>O9/10000</f>
        <v>21.5</v>
      </c>
      <c r="G9" s="25">
        <f t="shared" si="1"/>
        <v>21.5</v>
      </c>
      <c r="H9" s="112"/>
      <c r="I9" s="33"/>
      <c r="J9" s="43"/>
      <c r="K9" s="25"/>
      <c r="L9" s="45">
        <f t="shared" si="0"/>
        <v>0.008</v>
      </c>
      <c r="M9" s="26"/>
      <c r="O9" s="48">
        <f>[1]Sheet3!E49</f>
        <v>215041.37</v>
      </c>
    </row>
    <row r="10" s="5" customFormat="true" ht="13.5" spans="1:15">
      <c r="A10" s="24" t="s">
        <v>194</v>
      </c>
      <c r="B10" s="109" t="s">
        <v>195</v>
      </c>
      <c r="C10" s="25"/>
      <c r="D10" s="25"/>
      <c r="E10" s="25"/>
      <c r="F10" s="25">
        <f>O10/10000</f>
        <v>262.66</v>
      </c>
      <c r="G10" s="25">
        <f t="shared" si="1"/>
        <v>262.66</v>
      </c>
      <c r="H10" s="112"/>
      <c r="I10" s="33"/>
      <c r="J10" s="43"/>
      <c r="K10" s="25"/>
      <c r="L10" s="45">
        <f t="shared" si="0"/>
        <v>0.0976</v>
      </c>
      <c r="M10" s="26"/>
      <c r="O10" s="48">
        <f>[1]Sheet3!E50</f>
        <v>2626604.68</v>
      </c>
    </row>
    <row r="11" s="5" customFormat="true" ht="13.5" spans="1:15">
      <c r="A11" s="24" t="s">
        <v>205</v>
      </c>
      <c r="B11" s="109" t="s">
        <v>197</v>
      </c>
      <c r="C11" s="25"/>
      <c r="D11" s="25"/>
      <c r="E11" s="25"/>
      <c r="F11" s="25">
        <f>O11/10000</f>
        <v>97.92</v>
      </c>
      <c r="G11" s="25">
        <f t="shared" si="1"/>
        <v>97.92</v>
      </c>
      <c r="H11" s="112"/>
      <c r="I11" s="33"/>
      <c r="J11" s="43"/>
      <c r="K11" s="25"/>
      <c r="L11" s="45">
        <f t="shared" si="0"/>
        <v>0.0364</v>
      </c>
      <c r="M11" s="26"/>
      <c r="O11" s="48">
        <f>[1]Sheet3!E51</f>
        <v>979213.56</v>
      </c>
    </row>
    <row r="12" s="5" customFormat="true" ht="13.5" spans="1:15">
      <c r="A12" s="24" t="s">
        <v>16</v>
      </c>
      <c r="B12" s="109" t="s">
        <v>59</v>
      </c>
      <c r="C12" s="25">
        <f>O12/10000</f>
        <v>230.46</v>
      </c>
      <c r="D12" s="25"/>
      <c r="E12" s="25"/>
      <c r="F12" s="25"/>
      <c r="G12" s="25">
        <f t="shared" si="1"/>
        <v>230.46</v>
      </c>
      <c r="H12" s="112" t="s">
        <v>221</v>
      </c>
      <c r="I12" s="33" t="s">
        <v>222</v>
      </c>
      <c r="J12" s="43">
        <f>3860.37+540.17+3765.77+795.47+1404</f>
        <v>10365.78</v>
      </c>
      <c r="K12" s="25">
        <f>G12/J12*10000</f>
        <v>222.33</v>
      </c>
      <c r="L12" s="45">
        <f t="shared" si="0"/>
        <v>0.0856</v>
      </c>
      <c r="M12" s="26"/>
      <c r="O12" s="48">
        <f>[1]Sheet3!E52</f>
        <v>2304638.19</v>
      </c>
    </row>
    <row r="13" s="5" customFormat="true" ht="13.5" spans="1:13">
      <c r="A13" s="117" t="s">
        <v>18</v>
      </c>
      <c r="B13" s="118" t="s">
        <v>60</v>
      </c>
      <c r="C13" s="25">
        <f t="shared" ref="C13" si="2">J13*K13/10000</f>
        <v>73.54</v>
      </c>
      <c r="D13" s="25"/>
      <c r="E13" s="25"/>
      <c r="F13" s="25"/>
      <c r="G13" s="25">
        <f t="shared" si="1"/>
        <v>73.54</v>
      </c>
      <c r="H13" s="112" t="s">
        <v>223</v>
      </c>
      <c r="I13" s="33" t="s">
        <v>222</v>
      </c>
      <c r="J13" s="43">
        <f>2493.1+635.36+3000</f>
        <v>6128.46</v>
      </c>
      <c r="K13" s="25">
        <v>120</v>
      </c>
      <c r="L13" s="45">
        <f t="shared" si="0"/>
        <v>0.0273</v>
      </c>
      <c r="M13" s="26"/>
    </row>
    <row r="14" s="5" customFormat="true" ht="22.15" hidden="true" customHeight="true" spans="1:13">
      <c r="A14" s="24" t="s">
        <v>29</v>
      </c>
      <c r="B14" s="109" t="s">
        <v>224</v>
      </c>
      <c r="C14" s="25"/>
      <c r="D14" s="25"/>
      <c r="E14" s="25"/>
      <c r="F14" s="25"/>
      <c r="G14" s="25">
        <f t="shared" si="1"/>
        <v>0</v>
      </c>
      <c r="H14" s="112" t="s">
        <v>221</v>
      </c>
      <c r="I14" s="33" t="s">
        <v>222</v>
      </c>
      <c r="J14" s="43"/>
      <c r="K14" s="25"/>
      <c r="L14" s="45">
        <f t="shared" si="0"/>
        <v>0</v>
      </c>
      <c r="M14" s="26"/>
    </row>
    <row r="15" s="5" customFormat="true" ht="22.15" hidden="true" customHeight="true" spans="1:13">
      <c r="A15" s="24" t="s">
        <v>128</v>
      </c>
      <c r="B15" s="109" t="s">
        <v>225</v>
      </c>
      <c r="C15" s="25"/>
      <c r="D15" s="25"/>
      <c r="E15" s="25"/>
      <c r="F15" s="25"/>
      <c r="G15" s="25">
        <f t="shared" si="1"/>
        <v>0</v>
      </c>
      <c r="H15" s="112" t="s">
        <v>216</v>
      </c>
      <c r="I15" s="33" t="s">
        <v>226</v>
      </c>
      <c r="J15" s="43"/>
      <c r="K15" s="25"/>
      <c r="L15" s="45">
        <f t="shared" si="0"/>
        <v>0</v>
      </c>
      <c r="M15" s="26"/>
    </row>
    <row r="16" s="5" customFormat="true" ht="22.15" hidden="true" customHeight="true" spans="1:13">
      <c r="A16" s="24" t="s">
        <v>130</v>
      </c>
      <c r="B16" s="109" t="s">
        <v>227</v>
      </c>
      <c r="C16" s="25"/>
      <c r="D16" s="25"/>
      <c r="E16" s="25"/>
      <c r="F16" s="25"/>
      <c r="G16" s="25">
        <f t="shared" si="1"/>
        <v>0</v>
      </c>
      <c r="H16" s="112" t="s">
        <v>228</v>
      </c>
      <c r="I16" s="33" t="s">
        <v>229</v>
      </c>
      <c r="J16" s="43"/>
      <c r="K16" s="25"/>
      <c r="L16" s="45">
        <f t="shared" si="0"/>
        <v>0</v>
      </c>
      <c r="M16" s="26"/>
    </row>
    <row r="17" s="5" customFormat="true" ht="22.15" hidden="true" customHeight="true" spans="1:13">
      <c r="A17" s="24" t="s">
        <v>185</v>
      </c>
      <c r="B17" s="109" t="s">
        <v>230</v>
      </c>
      <c r="C17" s="25"/>
      <c r="D17" s="25"/>
      <c r="E17" s="25"/>
      <c r="F17" s="25"/>
      <c r="G17" s="25">
        <f t="shared" si="1"/>
        <v>0</v>
      </c>
      <c r="H17" s="112" t="s">
        <v>221</v>
      </c>
      <c r="I17" s="33" t="s">
        <v>222</v>
      </c>
      <c r="J17" s="43"/>
      <c r="K17" s="25"/>
      <c r="L17" s="45">
        <f t="shared" si="0"/>
        <v>0</v>
      </c>
      <c r="M17" s="26"/>
    </row>
    <row r="18" s="5" customFormat="true" ht="22.15" hidden="true" customHeight="true" spans="1:13">
      <c r="A18" s="24" t="s">
        <v>186</v>
      </c>
      <c r="B18" s="109" t="s">
        <v>231</v>
      </c>
      <c r="C18" s="25"/>
      <c r="D18" s="25"/>
      <c r="E18" s="25"/>
      <c r="F18" s="25"/>
      <c r="G18" s="25">
        <f t="shared" si="1"/>
        <v>0</v>
      </c>
      <c r="H18" s="112" t="s">
        <v>216</v>
      </c>
      <c r="I18" s="33" t="s">
        <v>226</v>
      </c>
      <c r="J18" s="43"/>
      <c r="K18" s="25"/>
      <c r="L18" s="45">
        <f t="shared" si="0"/>
        <v>0</v>
      </c>
      <c r="M18" s="26"/>
    </row>
    <row r="19" s="5" customFormat="true" ht="22.15" hidden="true" customHeight="true" spans="1:13">
      <c r="A19" s="24" t="s">
        <v>187</v>
      </c>
      <c r="B19" s="109" t="s">
        <v>232</v>
      </c>
      <c r="C19" s="25"/>
      <c r="D19" s="25"/>
      <c r="E19" s="25"/>
      <c r="F19" s="25"/>
      <c r="G19" s="25">
        <f t="shared" si="1"/>
        <v>0</v>
      </c>
      <c r="H19" s="112" t="s">
        <v>216</v>
      </c>
      <c r="I19" s="33" t="s">
        <v>226</v>
      </c>
      <c r="J19" s="43"/>
      <c r="K19" s="25"/>
      <c r="L19" s="45">
        <f t="shared" si="0"/>
        <v>0</v>
      </c>
      <c r="M19" s="26"/>
    </row>
    <row r="20" s="5" customFormat="true" ht="22.15" hidden="true" customHeight="true" spans="1:13">
      <c r="A20" s="24" t="s">
        <v>189</v>
      </c>
      <c r="B20" s="109" t="s">
        <v>233</v>
      </c>
      <c r="C20" s="25"/>
      <c r="D20" s="25"/>
      <c r="E20" s="25"/>
      <c r="F20" s="25"/>
      <c r="G20" s="25">
        <f t="shared" si="1"/>
        <v>0</v>
      </c>
      <c r="H20" s="112" t="s">
        <v>216</v>
      </c>
      <c r="I20" s="33" t="s">
        <v>226</v>
      </c>
      <c r="J20" s="43"/>
      <c r="K20" s="25"/>
      <c r="L20" s="45">
        <f t="shared" si="0"/>
        <v>0</v>
      </c>
      <c r="M20" s="26"/>
    </row>
    <row r="21" s="5" customFormat="true" ht="22.15" hidden="true" customHeight="true" spans="1:13">
      <c r="A21" s="24" t="s">
        <v>190</v>
      </c>
      <c r="B21" s="109" t="s">
        <v>234</v>
      </c>
      <c r="C21" s="25"/>
      <c r="D21" s="25"/>
      <c r="E21" s="25"/>
      <c r="F21" s="25"/>
      <c r="G21" s="25">
        <f t="shared" si="1"/>
        <v>0</v>
      </c>
      <c r="H21" s="112" t="s">
        <v>216</v>
      </c>
      <c r="I21" s="33" t="s">
        <v>226</v>
      </c>
      <c r="J21" s="43"/>
      <c r="K21" s="25"/>
      <c r="L21" s="45">
        <f t="shared" si="0"/>
        <v>0</v>
      </c>
      <c r="M21" s="26"/>
    </row>
    <row r="22" s="5" customFormat="true" ht="22.15" hidden="true" customHeight="true" spans="1:13">
      <c r="A22" s="24" t="s">
        <v>235</v>
      </c>
      <c r="B22" s="109" t="s">
        <v>236</v>
      </c>
      <c r="C22" s="25"/>
      <c r="D22" s="25"/>
      <c r="E22" s="25"/>
      <c r="F22" s="25"/>
      <c r="G22" s="25">
        <f t="shared" si="1"/>
        <v>0</v>
      </c>
      <c r="H22" s="112" t="s">
        <v>228</v>
      </c>
      <c r="I22" s="33" t="s">
        <v>229</v>
      </c>
      <c r="J22" s="43"/>
      <c r="K22" s="25"/>
      <c r="L22" s="45">
        <f t="shared" si="0"/>
        <v>0</v>
      </c>
      <c r="M22" s="26"/>
    </row>
    <row r="23" s="5" customFormat="true" ht="22.15" hidden="true" customHeight="true" spans="1:13">
      <c r="A23" s="24" t="s">
        <v>237</v>
      </c>
      <c r="B23" s="109" t="s">
        <v>238</v>
      </c>
      <c r="C23" s="25"/>
      <c r="D23" s="25"/>
      <c r="E23" s="25"/>
      <c r="F23" s="25"/>
      <c r="G23" s="25">
        <f t="shared" si="1"/>
        <v>0</v>
      </c>
      <c r="H23" s="112"/>
      <c r="I23" s="33"/>
      <c r="J23" s="43"/>
      <c r="K23" s="25"/>
      <c r="L23" s="45">
        <f t="shared" si="0"/>
        <v>0</v>
      </c>
      <c r="M23" s="26"/>
    </row>
    <row r="24" s="5" customFormat="true" ht="13.5" spans="1:13">
      <c r="A24" s="24" t="s">
        <v>22</v>
      </c>
      <c r="B24" s="109" t="s">
        <v>61</v>
      </c>
      <c r="C24" s="25"/>
      <c r="D24" s="25"/>
      <c r="E24" s="25"/>
      <c r="F24" s="25">
        <v>50</v>
      </c>
      <c r="G24" s="25">
        <f t="shared" si="1"/>
        <v>50</v>
      </c>
      <c r="H24" s="112"/>
      <c r="I24" s="33" t="s">
        <v>239</v>
      </c>
      <c r="J24" s="43">
        <v>1</v>
      </c>
      <c r="K24" s="25"/>
      <c r="L24" s="45">
        <f t="shared" si="0"/>
        <v>0.0186</v>
      </c>
      <c r="M24" s="26"/>
    </row>
    <row r="25" s="5" customFormat="true" ht="13.5" spans="1:13">
      <c r="A25" s="24" t="s">
        <v>24</v>
      </c>
      <c r="B25" s="119" t="s">
        <v>62</v>
      </c>
      <c r="C25" s="25">
        <v>35</v>
      </c>
      <c r="D25" s="25"/>
      <c r="E25" s="25"/>
      <c r="F25" s="25"/>
      <c r="G25" s="25">
        <f t="shared" si="1"/>
        <v>35</v>
      </c>
      <c r="H25" s="112"/>
      <c r="I25" s="33" t="s">
        <v>239</v>
      </c>
      <c r="J25" s="43">
        <v>1</v>
      </c>
      <c r="K25" s="25"/>
      <c r="L25" s="45">
        <f t="shared" si="0"/>
        <v>0.013</v>
      </c>
      <c r="M25" s="26"/>
    </row>
    <row r="26" s="5" customFormat="true" ht="13.5" spans="1:13">
      <c r="A26" s="24" t="s">
        <v>26</v>
      </c>
      <c r="B26" s="119" t="s">
        <v>63</v>
      </c>
      <c r="C26" s="25"/>
      <c r="D26" s="25"/>
      <c r="E26" s="25"/>
      <c r="F26" s="25">
        <v>1200</v>
      </c>
      <c r="G26" s="25">
        <f t="shared" si="1"/>
        <v>1200</v>
      </c>
      <c r="H26" s="112"/>
      <c r="I26" s="33" t="s">
        <v>239</v>
      </c>
      <c r="J26" s="43">
        <v>1</v>
      </c>
      <c r="K26" s="25"/>
      <c r="L26" s="45">
        <f t="shared" si="0"/>
        <v>0.4457</v>
      </c>
      <c r="M26" s="26"/>
    </row>
    <row r="27" s="5" customFormat="true" ht="13.5" spans="1:13">
      <c r="A27" s="110"/>
      <c r="B27" s="111" t="s">
        <v>8</v>
      </c>
      <c r="C27" s="25">
        <f>C5+C6+SUM(C12:C26)</f>
        <v>353.74</v>
      </c>
      <c r="D27" s="25">
        <f>D5+D6+SUM(D12:D26)</f>
        <v>0</v>
      </c>
      <c r="E27" s="25">
        <f>E5+E6+SUM(E12:E26)</f>
        <v>0</v>
      </c>
      <c r="F27" s="25">
        <f>F5+F6+SUM(F12:F26)</f>
        <v>2338.58</v>
      </c>
      <c r="G27" s="25">
        <f t="shared" si="1"/>
        <v>2692.32</v>
      </c>
      <c r="H27" s="112"/>
      <c r="I27" s="33"/>
      <c r="J27" s="43"/>
      <c r="K27" s="25"/>
      <c r="L27" s="45">
        <f t="shared" si="0"/>
        <v>1</v>
      </c>
      <c r="M27" s="26"/>
    </row>
  </sheetData>
  <mergeCells count="8">
    <mergeCell ref="A1:M1"/>
    <mergeCell ref="A2:K2"/>
    <mergeCell ref="L2:M2"/>
    <mergeCell ref="C3:G3"/>
    <mergeCell ref="H3:L3"/>
    <mergeCell ref="A3:A4"/>
    <mergeCell ref="B3:B4"/>
    <mergeCell ref="M3:M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A1" sqref="$A1:$XFD1048576"/>
    </sheetView>
  </sheetViews>
  <sheetFormatPr defaultColWidth="10" defaultRowHeight="15.75"/>
  <cols>
    <col min="1" max="1" width="7.5" style="102" customWidth="true"/>
    <col min="2" max="2" width="21.125" style="103" customWidth="true"/>
    <col min="3" max="3" width="12" style="103" customWidth="true"/>
    <col min="4" max="4" width="11" style="103" hidden="true" customWidth="true"/>
    <col min="5" max="6" width="11.875" style="103" customWidth="true"/>
    <col min="7" max="7" width="12.125" style="103" customWidth="true"/>
    <col min="8" max="8" width="10.25" style="103" customWidth="true"/>
    <col min="9" max="9" width="5.375" style="103" customWidth="true"/>
    <col min="10" max="10" width="10.375" style="104" customWidth="true"/>
    <col min="11" max="11" width="8.5" style="103" customWidth="true"/>
    <col min="12" max="12" width="9.875" style="103" customWidth="true"/>
    <col min="13" max="13" width="11.125" style="103" customWidth="true"/>
    <col min="14" max="15" width="10" style="11"/>
    <col min="16" max="16" width="12.75" style="11" customWidth="true"/>
    <col min="17" max="16384" width="10" style="11"/>
  </cols>
  <sheetData>
    <row r="1" s="99" customFormat="true" ht="21.75" spans="1:13">
      <c r="A1" s="12" t="s">
        <v>206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100" customFormat="true" ht="13.5" spans="1:13">
      <c r="A2" s="105" t="s">
        <v>240</v>
      </c>
      <c r="B2" s="106"/>
      <c r="C2" s="106"/>
      <c r="D2" s="106"/>
      <c r="E2" s="106"/>
      <c r="F2" s="106"/>
      <c r="G2" s="106"/>
      <c r="H2" s="106"/>
      <c r="I2" s="106"/>
      <c r="J2" s="113"/>
      <c r="K2" s="114"/>
      <c r="L2" s="115"/>
      <c r="M2" s="115"/>
    </row>
    <row r="3" s="101" customFormat="true" ht="14.25" customHeight="true" spans="1:13">
      <c r="A3" s="107" t="s">
        <v>1</v>
      </c>
      <c r="B3" s="35" t="s">
        <v>208</v>
      </c>
      <c r="C3" s="16" t="s">
        <v>209</v>
      </c>
      <c r="D3" s="16"/>
      <c r="E3" s="16"/>
      <c r="F3" s="16"/>
      <c r="G3" s="16"/>
      <c r="H3" s="16" t="s">
        <v>210</v>
      </c>
      <c r="I3" s="16"/>
      <c r="J3" s="16"/>
      <c r="K3" s="16"/>
      <c r="L3" s="16"/>
      <c r="M3" s="35" t="s">
        <v>211</v>
      </c>
    </row>
    <row r="4" s="101" customFormat="true" ht="22.5" spans="1:13">
      <c r="A4" s="108"/>
      <c r="B4" s="38"/>
      <c r="C4" s="16" t="s">
        <v>212</v>
      </c>
      <c r="D4" s="16" t="s">
        <v>213</v>
      </c>
      <c r="E4" s="16" t="s">
        <v>213</v>
      </c>
      <c r="F4" s="16" t="s">
        <v>5</v>
      </c>
      <c r="G4" s="16" t="s">
        <v>8</v>
      </c>
      <c r="H4" s="16" t="s">
        <v>214</v>
      </c>
      <c r="I4" s="16" t="s">
        <v>215</v>
      </c>
      <c r="J4" s="36" t="s">
        <v>216</v>
      </c>
      <c r="K4" s="37" t="s">
        <v>217</v>
      </c>
      <c r="L4" s="16" t="s">
        <v>218</v>
      </c>
      <c r="M4" s="38"/>
    </row>
    <row r="5" s="5" customFormat="true" ht="13.5" spans="1:13">
      <c r="A5" s="24" t="s">
        <v>48</v>
      </c>
      <c r="B5" s="109" t="s">
        <v>49</v>
      </c>
      <c r="C5" s="25">
        <f>J5*K5/10000</f>
        <v>158.04</v>
      </c>
      <c r="D5" s="25"/>
      <c r="E5" s="25"/>
      <c r="F5" s="25"/>
      <c r="G5" s="25">
        <f>C5+E5+F5</f>
        <v>158.04</v>
      </c>
      <c r="H5" s="112" t="s">
        <v>241</v>
      </c>
      <c r="I5" s="33" t="s">
        <v>222</v>
      </c>
      <c r="J5" s="43">
        <v>2634</v>
      </c>
      <c r="K5" s="25">
        <v>600</v>
      </c>
      <c r="L5" s="45"/>
      <c r="M5" s="26"/>
    </row>
    <row r="6" s="5" customFormat="true" ht="13.5" spans="1:15">
      <c r="A6" s="24" t="s">
        <v>51</v>
      </c>
      <c r="B6" s="109" t="s">
        <v>52</v>
      </c>
      <c r="C6" s="25"/>
      <c r="D6" s="25"/>
      <c r="E6" s="25"/>
      <c r="F6" s="25">
        <f>O6/10000</f>
        <v>328.06</v>
      </c>
      <c r="G6" s="25">
        <f t="shared" ref="G6:G14" si="0">C6+E6+F6</f>
        <v>328.06</v>
      </c>
      <c r="H6" s="112"/>
      <c r="I6" s="33" t="s">
        <v>239</v>
      </c>
      <c r="J6" s="43">
        <v>1</v>
      </c>
      <c r="K6" s="25"/>
      <c r="L6" s="45"/>
      <c r="M6" s="26"/>
      <c r="O6" s="48">
        <f>[1]Sheet3!E80+[1]Sheet3!E81</f>
        <v>3280625.54</v>
      </c>
    </row>
    <row r="7" s="5" customFormat="true" ht="13.5" spans="1:15">
      <c r="A7" s="24" t="s">
        <v>16</v>
      </c>
      <c r="B7" s="109" t="s">
        <v>53</v>
      </c>
      <c r="C7" s="25"/>
      <c r="D7" s="25"/>
      <c r="E7" s="25"/>
      <c r="F7" s="25">
        <f>O7/10000+150</f>
        <v>394.71</v>
      </c>
      <c r="G7" s="25">
        <f t="shared" si="0"/>
        <v>394.71</v>
      </c>
      <c r="H7" s="112"/>
      <c r="I7" s="33" t="s">
        <v>239</v>
      </c>
      <c r="J7" s="43">
        <v>1</v>
      </c>
      <c r="K7" s="25"/>
      <c r="L7" s="45"/>
      <c r="M7" s="26"/>
      <c r="O7" s="48">
        <f>[1]Sheet3!E83+[1]Sheet3!E84+[1]Sheet3!E85</f>
        <v>2447056.91</v>
      </c>
    </row>
    <row r="8" s="5" customFormat="true" ht="22.15" hidden="true" customHeight="true" spans="1:13">
      <c r="A8" s="24" t="s">
        <v>191</v>
      </c>
      <c r="B8" s="109" t="s">
        <v>192</v>
      </c>
      <c r="C8" s="25"/>
      <c r="D8" s="25"/>
      <c r="E8" s="25"/>
      <c r="F8" s="25"/>
      <c r="G8" s="25">
        <f t="shared" si="0"/>
        <v>0</v>
      </c>
      <c r="H8" s="112" t="s">
        <v>242</v>
      </c>
      <c r="I8" s="33" t="s">
        <v>222</v>
      </c>
      <c r="J8" s="43"/>
      <c r="K8" s="25"/>
      <c r="L8" s="45"/>
      <c r="M8" s="26"/>
    </row>
    <row r="9" s="5" customFormat="true" ht="22.15" hidden="true" customHeight="true" spans="1:13">
      <c r="A9" s="24" t="s">
        <v>193</v>
      </c>
      <c r="B9" s="109" t="s">
        <v>243</v>
      </c>
      <c r="C9" s="25"/>
      <c r="D9" s="25"/>
      <c r="E9" s="25"/>
      <c r="F9" s="25"/>
      <c r="G9" s="25">
        <f t="shared" si="0"/>
        <v>0</v>
      </c>
      <c r="H9" s="112" t="s">
        <v>242</v>
      </c>
      <c r="I9" s="33" t="s">
        <v>222</v>
      </c>
      <c r="J9" s="43"/>
      <c r="K9" s="25"/>
      <c r="L9" s="45"/>
      <c r="M9" s="26"/>
    </row>
    <row r="10" s="5" customFormat="true" ht="22.15" hidden="true" customHeight="true" spans="1:15">
      <c r="A10" s="24" t="s">
        <v>114</v>
      </c>
      <c r="B10" s="109" t="s">
        <v>127</v>
      </c>
      <c r="C10" s="25"/>
      <c r="D10" s="25"/>
      <c r="E10" s="25"/>
      <c r="F10" s="25"/>
      <c r="G10" s="25">
        <f t="shared" si="0"/>
        <v>0</v>
      </c>
      <c r="H10" s="112" t="s">
        <v>242</v>
      </c>
      <c r="I10" s="33" t="s">
        <v>222</v>
      </c>
      <c r="J10" s="43"/>
      <c r="K10" s="25"/>
      <c r="L10" s="45"/>
      <c r="M10" s="26"/>
      <c r="O10" s="48"/>
    </row>
    <row r="11" s="5" customFormat="true" ht="22.15" hidden="true" customHeight="true" spans="1:16">
      <c r="A11" s="24" t="s">
        <v>244</v>
      </c>
      <c r="B11" s="109" t="s">
        <v>125</v>
      </c>
      <c r="C11" s="25"/>
      <c r="D11" s="25"/>
      <c r="E11" s="25"/>
      <c r="F11" s="25"/>
      <c r="G11" s="25">
        <f t="shared" si="0"/>
        <v>0</v>
      </c>
      <c r="H11" s="112"/>
      <c r="I11" s="33" t="s">
        <v>239</v>
      </c>
      <c r="J11" s="43">
        <v>1</v>
      </c>
      <c r="K11" s="25"/>
      <c r="L11" s="45"/>
      <c r="M11" s="26"/>
      <c r="O11" s="48">
        <v>159523.02</v>
      </c>
      <c r="P11" s="48">
        <v>1003343.62</v>
      </c>
    </row>
    <row r="12" s="5" customFormat="true" ht="22.15" hidden="true" customHeight="true" spans="1:13">
      <c r="A12" s="24" t="s">
        <v>245</v>
      </c>
      <c r="B12" s="109" t="s">
        <v>195</v>
      </c>
      <c r="C12" s="25"/>
      <c r="D12" s="25"/>
      <c r="E12" s="25"/>
      <c r="F12" s="25"/>
      <c r="G12" s="25">
        <f t="shared" si="0"/>
        <v>0</v>
      </c>
      <c r="H12" s="112" t="s">
        <v>242</v>
      </c>
      <c r="I12" s="33" t="s">
        <v>222</v>
      </c>
      <c r="J12" s="43"/>
      <c r="K12" s="25"/>
      <c r="L12" s="45"/>
      <c r="M12" s="26"/>
    </row>
    <row r="13" s="5" customFormat="true" ht="22.15" hidden="true" customHeight="true" spans="1:15">
      <c r="A13" s="24" t="s">
        <v>246</v>
      </c>
      <c r="B13" s="109" t="s">
        <v>197</v>
      </c>
      <c r="C13" s="25"/>
      <c r="D13" s="25"/>
      <c r="E13" s="25"/>
      <c r="F13" s="25">
        <f>O13/10000</f>
        <v>0</v>
      </c>
      <c r="G13" s="25">
        <f t="shared" si="0"/>
        <v>0</v>
      </c>
      <c r="H13" s="112" t="s">
        <v>242</v>
      </c>
      <c r="I13" s="33" t="s">
        <v>222</v>
      </c>
      <c r="J13" s="43"/>
      <c r="K13" s="25"/>
      <c r="L13" s="45"/>
      <c r="M13" s="26"/>
      <c r="O13" s="48"/>
    </row>
    <row r="14" s="5" customFormat="true" ht="13.5" spans="1:13">
      <c r="A14" s="24" t="s">
        <v>18</v>
      </c>
      <c r="B14" s="109" t="s">
        <v>54</v>
      </c>
      <c r="C14" s="25"/>
      <c r="D14" s="25"/>
      <c r="E14" s="25"/>
      <c r="F14" s="25">
        <v>180.91</v>
      </c>
      <c r="G14" s="25">
        <f t="shared" si="0"/>
        <v>180.91</v>
      </c>
      <c r="H14" s="112"/>
      <c r="I14" s="33" t="s">
        <v>239</v>
      </c>
      <c r="J14" s="43">
        <v>1</v>
      </c>
      <c r="K14" s="25"/>
      <c r="L14" s="45"/>
      <c r="M14" s="26"/>
    </row>
    <row r="15" s="5" customFormat="true" ht="13.5" spans="1:13">
      <c r="A15" s="110"/>
      <c r="B15" s="111" t="s">
        <v>8</v>
      </c>
      <c r="C15" s="25"/>
      <c r="D15" s="25"/>
      <c r="E15" s="25"/>
      <c r="F15" s="25"/>
      <c r="G15" s="25"/>
      <c r="H15" s="112"/>
      <c r="I15" s="33"/>
      <c r="J15" s="43"/>
      <c r="K15" s="25"/>
      <c r="L15" s="45"/>
      <c r="M15" s="26"/>
    </row>
  </sheetData>
  <mergeCells count="7">
    <mergeCell ref="A1:M1"/>
    <mergeCell ref="L2:M2"/>
    <mergeCell ref="C3:G3"/>
    <mergeCell ref="H3:L3"/>
    <mergeCell ref="A3:A4"/>
    <mergeCell ref="B3:B4"/>
    <mergeCell ref="M3:M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J13" sqref="J13"/>
    </sheetView>
  </sheetViews>
  <sheetFormatPr defaultColWidth="9" defaultRowHeight="12.75" outlineLevelCol="7"/>
  <cols>
    <col min="1" max="1" width="6.125" style="63" customWidth="true"/>
    <col min="2" max="2" width="46.625" style="64" customWidth="true"/>
    <col min="3" max="4" width="9.625" style="65" hidden="true" customWidth="true"/>
    <col min="5" max="5" width="13.5" style="65" customWidth="true"/>
    <col min="6" max="6" width="10.25" style="65" hidden="true" customWidth="true"/>
    <col min="7" max="7" width="14.625" style="66" customWidth="true"/>
    <col min="8" max="16384" width="9" style="67"/>
  </cols>
  <sheetData>
    <row r="1" s="55" customFormat="true" ht="28.5" customHeight="true" spans="1:7">
      <c r="A1" s="68" t="s">
        <v>247</v>
      </c>
      <c r="B1" s="69"/>
      <c r="C1" s="70"/>
      <c r="D1" s="70"/>
      <c r="E1" s="70"/>
      <c r="F1" s="70"/>
      <c r="G1" s="86"/>
    </row>
    <row r="2" s="55" customFormat="true" ht="13.5" spans="1:7">
      <c r="A2" s="71" t="s">
        <v>248</v>
      </c>
      <c r="B2" s="72"/>
      <c r="C2" s="73"/>
      <c r="D2" s="73"/>
      <c r="E2" s="73"/>
      <c r="F2" s="73"/>
      <c r="G2" s="87"/>
    </row>
    <row r="3" s="56" customFormat="true" ht="24" customHeight="true" spans="1:7">
      <c r="A3" s="74" t="s">
        <v>1</v>
      </c>
      <c r="B3" s="75" t="s">
        <v>208</v>
      </c>
      <c r="C3" s="76" t="s">
        <v>249</v>
      </c>
      <c r="D3" s="76" t="s">
        <v>250</v>
      </c>
      <c r="E3" s="76" t="s">
        <v>251</v>
      </c>
      <c r="F3" s="76" t="s">
        <v>252</v>
      </c>
      <c r="G3" s="76" t="s">
        <v>211</v>
      </c>
    </row>
    <row r="4" s="57" customFormat="true" ht="32.25" hidden="true" customHeight="true" spans="1:7">
      <c r="A4" s="74"/>
      <c r="B4" s="75"/>
      <c r="C4" s="76" t="s">
        <v>212</v>
      </c>
      <c r="D4" s="76" t="s">
        <v>213</v>
      </c>
      <c r="E4" s="76" t="s">
        <v>5</v>
      </c>
      <c r="F4" s="76" t="s">
        <v>7</v>
      </c>
      <c r="G4" s="76"/>
    </row>
    <row r="5" s="58" customFormat="true" ht="21.95" customHeight="true" spans="1:7">
      <c r="A5" s="77" t="s">
        <v>64</v>
      </c>
      <c r="B5" s="78" t="s">
        <v>253</v>
      </c>
      <c r="C5" s="79"/>
      <c r="D5" s="79"/>
      <c r="E5" s="79">
        <f>SUM(E6:E10)+SUM(E15:E38)</f>
        <v>3771.43</v>
      </c>
      <c r="F5" s="79"/>
      <c r="G5" s="89"/>
    </row>
    <row r="6" s="59" customFormat="true" ht="32.25" customHeight="true" spans="1:7">
      <c r="A6" s="80">
        <v>1</v>
      </c>
      <c r="B6" s="81" t="s">
        <v>66</v>
      </c>
      <c r="C6" s="82"/>
      <c r="D6" s="82"/>
      <c r="E6" s="90">
        <v>27.8</v>
      </c>
      <c r="F6" s="91"/>
      <c r="G6" s="92" t="s">
        <v>254</v>
      </c>
    </row>
    <row r="7" s="59" customFormat="true" ht="21.95" customHeight="true" spans="1:7">
      <c r="A7" s="80">
        <v>2</v>
      </c>
      <c r="B7" s="81" t="s">
        <v>67</v>
      </c>
      <c r="C7" s="82"/>
      <c r="D7" s="82"/>
      <c r="E7" s="96">
        <v>978</v>
      </c>
      <c r="F7" s="91"/>
      <c r="G7" s="92" t="s">
        <v>255</v>
      </c>
    </row>
    <row r="8" s="60" customFormat="true" ht="21.95" customHeight="true" spans="1:7">
      <c r="A8" s="80">
        <v>3</v>
      </c>
      <c r="B8" s="81" t="s">
        <v>68</v>
      </c>
      <c r="C8" s="82"/>
      <c r="D8" s="82"/>
      <c r="E8" s="90">
        <v>14.9</v>
      </c>
      <c r="F8" s="91"/>
      <c r="G8" s="92" t="s">
        <v>254</v>
      </c>
    </row>
    <row r="9" s="59" customFormat="true" ht="21.95" customHeight="true" spans="1:7">
      <c r="A9" s="80">
        <v>4</v>
      </c>
      <c r="B9" s="81" t="s">
        <v>69</v>
      </c>
      <c r="C9" s="82"/>
      <c r="D9" s="82"/>
      <c r="E9" s="90">
        <v>29.6</v>
      </c>
      <c r="F9" s="91"/>
      <c r="G9" s="92" t="s">
        <v>254</v>
      </c>
    </row>
    <row r="10" s="59" customFormat="true" ht="21.95" customHeight="true" spans="1:7">
      <c r="A10" s="80">
        <v>5</v>
      </c>
      <c r="B10" s="81" t="s">
        <v>70</v>
      </c>
      <c r="C10" s="82"/>
      <c r="D10" s="82"/>
      <c r="E10" s="82">
        <f>E11+E12+E13+E14</f>
        <v>54.89</v>
      </c>
      <c r="F10" s="91"/>
      <c r="G10" s="94"/>
    </row>
    <row r="11" s="60" customFormat="true" ht="21.95" hidden="true" customHeight="true" spans="1:7">
      <c r="A11" s="80">
        <v>5.1</v>
      </c>
      <c r="B11" s="81" t="s">
        <v>256</v>
      </c>
      <c r="C11" s="82"/>
      <c r="D11" s="82"/>
      <c r="E11" s="82">
        <v>0</v>
      </c>
      <c r="F11" s="91"/>
      <c r="G11" s="94"/>
    </row>
    <row r="12" s="60" customFormat="true" ht="21.95" customHeight="true" spans="1:7">
      <c r="A12" s="80">
        <v>5.1</v>
      </c>
      <c r="B12" s="81" t="s">
        <v>198</v>
      </c>
      <c r="C12" s="82"/>
      <c r="D12" s="82"/>
      <c r="E12" s="82">
        <f>100*1%+(500-100)*0.7%+(1000-500)*0.05%+(5000-1000)*0.35%+(10000-5000)*0.2%+([2]主体概算汇总表1!G5-6637.81-10000)*0.05%</f>
        <v>43.86</v>
      </c>
      <c r="F12" s="91"/>
      <c r="G12" s="94"/>
    </row>
    <row r="13" s="60" customFormat="true" ht="21.95" customHeight="true" spans="1:7">
      <c r="A13" s="80">
        <v>5.2</v>
      </c>
      <c r="B13" s="81" t="s">
        <v>199</v>
      </c>
      <c r="C13" s="82"/>
      <c r="D13" s="82"/>
      <c r="E13" s="82">
        <f>100*1.5%+(500-100)*0.8%+(1000-500)*0.45%+(E6+E7-1000)*0.25%</f>
        <v>6.96</v>
      </c>
      <c r="F13" s="91"/>
      <c r="G13" s="94"/>
    </row>
    <row r="14" s="60" customFormat="true" ht="21.95" customHeight="true" spans="1:7">
      <c r="A14" s="80">
        <v>5.3</v>
      </c>
      <c r="B14" s="81" t="s">
        <v>200</v>
      </c>
      <c r="C14" s="82"/>
      <c r="D14" s="82"/>
      <c r="E14" s="82">
        <f>100*1.5%+(E16-100)*0.8%</f>
        <v>4.07</v>
      </c>
      <c r="F14" s="91"/>
      <c r="G14" s="94"/>
    </row>
    <row r="15" s="60" customFormat="true" ht="21.95" customHeight="true" spans="1:7">
      <c r="A15" s="80">
        <v>6</v>
      </c>
      <c r="B15" s="81" t="s">
        <v>71</v>
      </c>
      <c r="C15" s="82"/>
      <c r="D15" s="82"/>
      <c r="E15" s="90">
        <v>20.43</v>
      </c>
      <c r="F15" s="91"/>
      <c r="G15" s="92"/>
    </row>
    <row r="16" s="61" customFormat="true" ht="21.95" customHeight="true" spans="1:7">
      <c r="A16" s="80">
        <v>7</v>
      </c>
      <c r="B16" s="81" t="s">
        <v>72</v>
      </c>
      <c r="C16" s="82"/>
      <c r="D16" s="82"/>
      <c r="E16" s="82">
        <f>(708.2+([2]主体概算汇总表1!G5-40000)*((991.4-708.2)/(60000-40000)))*0.51</f>
        <v>420.86</v>
      </c>
      <c r="F16" s="91"/>
      <c r="G16" s="94"/>
    </row>
    <row r="17" s="61" customFormat="true" ht="21.95" hidden="true" customHeight="true" spans="1:7">
      <c r="A17" s="80">
        <v>8</v>
      </c>
      <c r="B17" s="81" t="s">
        <v>257</v>
      </c>
      <c r="C17" s="82"/>
      <c r="D17" s="82"/>
      <c r="E17" s="82">
        <v>0</v>
      </c>
      <c r="F17" s="91"/>
      <c r="G17" s="94"/>
    </row>
    <row r="18" s="61" customFormat="true" ht="21.95" customHeight="true" spans="1:7">
      <c r="A18" s="80">
        <v>8</v>
      </c>
      <c r="B18" s="81" t="s">
        <v>73</v>
      </c>
      <c r="C18" s="82"/>
      <c r="D18" s="82"/>
      <c r="E18" s="82">
        <v>30</v>
      </c>
      <c r="F18" s="91"/>
      <c r="G18" s="94"/>
    </row>
    <row r="19" s="61" customFormat="true" ht="21.95" customHeight="true" spans="1:7">
      <c r="A19" s="80">
        <v>9</v>
      </c>
      <c r="B19" s="81" t="s">
        <v>74</v>
      </c>
      <c r="C19" s="82"/>
      <c r="D19" s="82"/>
      <c r="E19" s="82">
        <f>256*0.85</f>
        <v>217.6</v>
      </c>
      <c r="F19" s="91"/>
      <c r="G19" s="94"/>
    </row>
    <row r="20" s="62" customFormat="true" ht="21.95" customHeight="true" spans="1:8">
      <c r="A20" s="80">
        <v>10</v>
      </c>
      <c r="B20" s="81" t="s">
        <v>75</v>
      </c>
      <c r="C20" s="82"/>
      <c r="D20" s="82"/>
      <c r="E20" s="82">
        <f>[2]主体概算汇总表1!G5*0.2%</f>
        <v>96.53</v>
      </c>
      <c r="F20" s="91"/>
      <c r="G20" s="94"/>
      <c r="H20" s="62">
        <f>(100*(0.6%)+400*(0.58%)+500*(0.56%)+4000*(0.54%)+5000*(0.52%)+([2]主体概算汇总表1!G5-10000)*(0.5%))*0.8*0.85</f>
        <v>166.3569</v>
      </c>
    </row>
    <row r="21" s="60" customFormat="true" ht="21.95" hidden="true" customHeight="true" spans="1:8">
      <c r="A21" s="80">
        <v>11</v>
      </c>
      <c r="B21" s="81" t="s">
        <v>201</v>
      </c>
      <c r="C21" s="82"/>
      <c r="D21" s="82"/>
      <c r="E21" s="82">
        <f>(100*(0.42%)+400*(0.4%)+500*(0.38%)+4000*(0.36%)+5000*(0.34%)+([2]主体概算汇总表1!G5-10000)*(0.32%))*1.3*0.85*0</f>
        <v>0</v>
      </c>
      <c r="F21" s="91"/>
      <c r="G21" s="94"/>
      <c r="H21" s="60">
        <f>(100*(0.42%)+400*(0.4%)+500*(0.38%)+4000*(0.36%)+5000*(0.34%)+([2]主体概算汇总表1!G5-10000)*(0.32%))*1.3*0.85-0.25</f>
        <v>174.081872</v>
      </c>
    </row>
    <row r="22" s="60" customFormat="true" ht="21.95" customHeight="true" spans="1:8">
      <c r="A22" s="80">
        <v>11</v>
      </c>
      <c r="B22" s="81" t="s">
        <v>76</v>
      </c>
      <c r="C22" s="82"/>
      <c r="D22" s="82"/>
      <c r="E22" s="82">
        <f>[2]主体概算汇总表1!G5*0.45%</f>
        <v>217.19</v>
      </c>
      <c r="F22" s="91"/>
      <c r="G22" s="94"/>
      <c r="H22" s="60">
        <f>(4000*(0.8%)+5000*(0.7%)+([2]主体概算汇总表1!G5-10000)*(0.6%))*0.53*0.85</f>
        <v>133.6124435</v>
      </c>
    </row>
    <row r="23" s="60" customFormat="true" ht="21.95" customHeight="true" spans="1:7">
      <c r="A23" s="80">
        <v>12</v>
      </c>
      <c r="B23" s="81" t="s">
        <v>77</v>
      </c>
      <c r="C23" s="82"/>
      <c r="D23" s="82"/>
      <c r="E23" s="82">
        <f>(4000*(0.2%)+5000*(0.15%)+([2]主体概算汇总表1!G5-10000)*0.1%)*0.9*0.85</f>
        <v>41.13</v>
      </c>
      <c r="F23" s="91"/>
      <c r="G23" s="94"/>
    </row>
    <row r="24" s="60" customFormat="true" ht="21.95" hidden="true" customHeight="true" spans="1:8">
      <c r="A24" s="80">
        <v>14</v>
      </c>
      <c r="B24" s="81" t="s">
        <v>202</v>
      </c>
      <c r="C24" s="82"/>
      <c r="D24" s="82"/>
      <c r="E24" s="82">
        <f>[2]妇产综合楼1!I5*20/10000*0</f>
        <v>0</v>
      </c>
      <c r="F24" s="91"/>
      <c r="G24" s="94"/>
      <c r="H24" s="60">
        <f>[2]妇产综合楼1!I5*20/10000</f>
        <v>135.02</v>
      </c>
    </row>
    <row r="25" s="60" customFormat="true" ht="21.95" customHeight="true" spans="1:7">
      <c r="A25" s="80">
        <v>13</v>
      </c>
      <c r="B25" s="81" t="s">
        <v>78</v>
      </c>
      <c r="C25" s="82"/>
      <c r="D25" s="82"/>
      <c r="E25" s="82">
        <f>210*1.5*7200/10000</f>
        <v>226.8</v>
      </c>
      <c r="F25" s="91"/>
      <c r="G25" s="94"/>
    </row>
    <row r="26" s="60" customFormat="true" ht="21.95" customHeight="true" spans="1:7">
      <c r="A26" s="80">
        <v>14</v>
      </c>
      <c r="B26" s="81" t="s">
        <v>79</v>
      </c>
      <c r="C26" s="82"/>
      <c r="D26" s="82"/>
      <c r="E26" s="82">
        <f>37.5*[2]主体概算汇总表1!J5/10000</f>
        <v>253.16</v>
      </c>
      <c r="F26" s="91"/>
      <c r="G26" s="97"/>
    </row>
    <row r="27" s="60" customFormat="true" ht="21.95" customHeight="true" spans="1:7">
      <c r="A27" s="80">
        <v>15</v>
      </c>
      <c r="B27" s="81" t="s">
        <v>80</v>
      </c>
      <c r="C27" s="82"/>
      <c r="D27" s="82"/>
      <c r="E27" s="82">
        <v>120</v>
      </c>
      <c r="F27" s="91"/>
      <c r="G27" s="94"/>
    </row>
    <row r="28" s="60" customFormat="true" ht="21.95" customHeight="true" spans="1:7">
      <c r="A28" s="80">
        <v>16</v>
      </c>
      <c r="B28" s="81" t="s">
        <v>81</v>
      </c>
      <c r="C28" s="82"/>
      <c r="D28" s="82"/>
      <c r="E28" s="82">
        <v>6.6</v>
      </c>
      <c r="F28" s="91"/>
      <c r="G28" s="92" t="s">
        <v>254</v>
      </c>
    </row>
    <row r="29" s="60" customFormat="true" ht="21.95" hidden="true" customHeight="true" spans="1:7">
      <c r="A29" s="80">
        <v>20</v>
      </c>
      <c r="B29" s="81" t="s">
        <v>258</v>
      </c>
      <c r="C29" s="82"/>
      <c r="D29" s="82"/>
      <c r="E29" s="82">
        <v>0</v>
      </c>
      <c r="F29" s="91"/>
      <c r="G29" s="92"/>
    </row>
    <row r="30" s="60" customFormat="true" ht="21.95" customHeight="true" spans="1:7">
      <c r="A30" s="80">
        <v>17</v>
      </c>
      <c r="B30" s="81" t="s">
        <v>82</v>
      </c>
      <c r="C30" s="82"/>
      <c r="D30" s="82"/>
      <c r="E30" s="82">
        <v>7.9</v>
      </c>
      <c r="F30" s="91"/>
      <c r="G30" s="98" t="s">
        <v>259</v>
      </c>
    </row>
    <row r="31" s="60" customFormat="true" ht="21.95" customHeight="true" spans="1:7">
      <c r="A31" s="80">
        <v>18</v>
      </c>
      <c r="B31" s="81" t="s">
        <v>83</v>
      </c>
      <c r="C31" s="82"/>
      <c r="D31" s="82"/>
      <c r="E31" s="82">
        <v>8</v>
      </c>
      <c r="F31" s="91"/>
      <c r="G31" s="94"/>
    </row>
    <row r="32" s="60" customFormat="true" ht="21.95" customHeight="true" spans="1:7">
      <c r="A32" s="80">
        <v>19</v>
      </c>
      <c r="B32" s="81" t="s">
        <v>84</v>
      </c>
      <c r="C32" s="82"/>
      <c r="D32" s="82"/>
      <c r="E32" s="82">
        <f>[2]主体概算汇总表1!G5*0.09%</f>
        <v>43.44</v>
      </c>
      <c r="F32" s="91"/>
      <c r="G32" s="94"/>
    </row>
    <row r="33" s="60" customFormat="true" ht="21.95" customHeight="true" spans="1:7">
      <c r="A33" s="80">
        <v>20</v>
      </c>
      <c r="B33" s="81" t="s">
        <v>85</v>
      </c>
      <c r="C33" s="82"/>
      <c r="D33" s="82"/>
      <c r="E33" s="82">
        <f>[2]主体概算汇总表1!G5*0.3%</f>
        <v>144.79</v>
      </c>
      <c r="F33" s="91"/>
      <c r="G33" s="94"/>
    </row>
    <row r="34" s="60" customFormat="true" ht="21.95" customHeight="true" spans="1:7">
      <c r="A34" s="80">
        <v>21</v>
      </c>
      <c r="B34" s="81" t="s">
        <v>86</v>
      </c>
      <c r="C34" s="82"/>
      <c r="D34" s="82"/>
      <c r="E34" s="82">
        <v>20</v>
      </c>
      <c r="F34" s="91"/>
      <c r="G34" s="94"/>
    </row>
    <row r="35" s="60" customFormat="true" ht="21.95" customHeight="true" spans="1:7">
      <c r="A35" s="80">
        <v>22</v>
      </c>
      <c r="B35" s="81" t="s">
        <v>87</v>
      </c>
      <c r="C35" s="82"/>
      <c r="D35" s="82"/>
      <c r="E35" s="82">
        <v>10</v>
      </c>
      <c r="F35" s="91"/>
      <c r="G35" s="94"/>
    </row>
    <row r="36" s="60" customFormat="true" ht="21.95" customHeight="true" spans="1:7">
      <c r="A36" s="80">
        <v>23</v>
      </c>
      <c r="B36" s="81" t="s">
        <v>88</v>
      </c>
      <c r="C36" s="82"/>
      <c r="D36" s="82"/>
      <c r="E36" s="82">
        <v>64</v>
      </c>
      <c r="F36" s="91"/>
      <c r="G36" s="94"/>
    </row>
    <row r="37" s="60" customFormat="true" ht="21.95" customHeight="true" spans="1:7">
      <c r="A37" s="80">
        <v>24</v>
      </c>
      <c r="B37" s="81" t="s">
        <v>89</v>
      </c>
      <c r="C37" s="82"/>
      <c r="D37" s="82"/>
      <c r="E37" s="82">
        <v>702.81</v>
      </c>
      <c r="F37" s="91"/>
      <c r="G37" s="94"/>
    </row>
    <row r="38" s="60" customFormat="true" ht="21.95" customHeight="true" spans="1:7">
      <c r="A38" s="80">
        <v>25</v>
      </c>
      <c r="B38" s="81" t="s">
        <v>90</v>
      </c>
      <c r="C38" s="82"/>
      <c r="D38" s="82"/>
      <c r="E38" s="82">
        <v>15</v>
      </c>
      <c r="F38" s="91"/>
      <c r="G38" s="94"/>
    </row>
  </sheetData>
  <mergeCells count="4">
    <mergeCell ref="A1:G1"/>
    <mergeCell ref="A3:A4"/>
    <mergeCell ref="B3:B4"/>
    <mergeCell ref="G3:G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I22" sqref="I22"/>
    </sheetView>
  </sheetViews>
  <sheetFormatPr defaultColWidth="9" defaultRowHeight="12.75" outlineLevelCol="7"/>
  <cols>
    <col min="1" max="1" width="8.625" style="63" customWidth="true"/>
    <col min="2" max="2" width="34" style="64" customWidth="true"/>
    <col min="3" max="4" width="9.625" style="65" hidden="true" customWidth="true"/>
    <col min="5" max="5" width="15.625" style="65" customWidth="true"/>
    <col min="6" max="6" width="10.25" style="65" hidden="true" customWidth="true"/>
    <col min="7" max="7" width="14.25" style="66" customWidth="true"/>
    <col min="8" max="16384" width="9" style="67"/>
  </cols>
  <sheetData>
    <row r="1" s="55" customFormat="true" ht="18" spans="1:7">
      <c r="A1" s="68" t="s">
        <v>247</v>
      </c>
      <c r="B1" s="69"/>
      <c r="C1" s="70"/>
      <c r="D1" s="70"/>
      <c r="E1" s="70"/>
      <c r="F1" s="70"/>
      <c r="G1" s="86"/>
    </row>
    <row r="2" s="55" customFormat="true" ht="13.5" spans="1:7">
      <c r="A2" s="71" t="s">
        <v>248</v>
      </c>
      <c r="B2" s="72"/>
      <c r="C2" s="73"/>
      <c r="D2" s="73"/>
      <c r="E2" s="73"/>
      <c r="F2" s="73"/>
      <c r="G2" s="87"/>
    </row>
    <row r="3" s="56" customFormat="true" ht="13.5" spans="1:7">
      <c r="A3" s="74" t="s">
        <v>1</v>
      </c>
      <c r="B3" s="75" t="s">
        <v>208</v>
      </c>
      <c r="C3" s="76" t="s">
        <v>249</v>
      </c>
      <c r="D3" s="76" t="s">
        <v>250</v>
      </c>
      <c r="E3" s="76" t="s">
        <v>251</v>
      </c>
      <c r="F3" s="76" t="s">
        <v>252</v>
      </c>
      <c r="G3" s="76" t="s">
        <v>211</v>
      </c>
    </row>
    <row r="4" s="57" customFormat="true" ht="32.25" hidden="true" customHeight="true" spans="1:7">
      <c r="A4" s="74"/>
      <c r="B4" s="75"/>
      <c r="C4" s="76" t="s">
        <v>212</v>
      </c>
      <c r="D4" s="76" t="s">
        <v>213</v>
      </c>
      <c r="E4" s="76" t="s">
        <v>5</v>
      </c>
      <c r="F4" s="76" t="s">
        <v>7</v>
      </c>
      <c r="G4" s="76"/>
    </row>
    <row r="5" s="58" customFormat="true" ht="13.5" spans="1:7">
      <c r="A5" s="77" t="s">
        <v>64</v>
      </c>
      <c r="B5" s="78" t="s">
        <v>253</v>
      </c>
      <c r="C5" s="79"/>
      <c r="D5" s="79"/>
      <c r="E5" s="88">
        <f>SUM(E6:E7)+SUM(E12:E20)</f>
        <v>162.05</v>
      </c>
      <c r="F5" s="79"/>
      <c r="G5" s="89"/>
    </row>
    <row r="6" s="59" customFormat="true" ht="13.5" spans="1:7">
      <c r="A6" s="80">
        <v>1</v>
      </c>
      <c r="B6" s="81" t="s">
        <v>67</v>
      </c>
      <c r="C6" s="82"/>
      <c r="D6" s="82"/>
      <c r="E6" s="90">
        <v>54.35</v>
      </c>
      <c r="F6" s="91"/>
      <c r="G6" s="92" t="s">
        <v>254</v>
      </c>
    </row>
    <row r="7" s="59" customFormat="true" ht="13.5" spans="1:7">
      <c r="A7" s="80">
        <v>2</v>
      </c>
      <c r="B7" s="81" t="s">
        <v>70</v>
      </c>
      <c r="C7" s="82"/>
      <c r="D7" s="82"/>
      <c r="E7" s="93">
        <f>E8+E9+E10+E11</f>
        <v>6.92</v>
      </c>
      <c r="F7" s="91"/>
      <c r="G7" s="92" t="s">
        <v>254</v>
      </c>
    </row>
    <row r="8" s="60" customFormat="true" ht="24" hidden="true" customHeight="true" spans="1:7">
      <c r="A8" s="80">
        <v>2.1</v>
      </c>
      <c r="B8" s="81" t="s">
        <v>256</v>
      </c>
      <c r="C8" s="82"/>
      <c r="D8" s="82"/>
      <c r="E8" s="90">
        <v>0</v>
      </c>
      <c r="F8" s="91"/>
      <c r="G8" s="92" t="s">
        <v>254</v>
      </c>
    </row>
    <row r="9" s="59" customFormat="true" ht="13.5" spans="1:7">
      <c r="A9" s="80">
        <v>2.1</v>
      </c>
      <c r="B9" s="81" t="s">
        <v>198</v>
      </c>
      <c r="C9" s="82"/>
      <c r="D9" s="82"/>
      <c r="E9" s="90">
        <v>3.92</v>
      </c>
      <c r="F9" s="91"/>
      <c r="G9" s="92" t="s">
        <v>254</v>
      </c>
    </row>
    <row r="10" s="59" customFormat="true" ht="13.5" spans="1:7">
      <c r="A10" s="80">
        <v>2.2</v>
      </c>
      <c r="B10" s="81" t="s">
        <v>199</v>
      </c>
      <c r="C10" s="82"/>
      <c r="D10" s="82"/>
      <c r="E10" s="82">
        <f>100*1.5%</f>
        <v>1.5</v>
      </c>
      <c r="F10" s="91"/>
      <c r="G10" s="94"/>
    </row>
    <row r="11" s="60" customFormat="true" ht="13.5" spans="1:7">
      <c r="A11" s="80">
        <v>2.3</v>
      </c>
      <c r="B11" s="81" t="s">
        <v>200</v>
      </c>
      <c r="C11" s="82"/>
      <c r="D11" s="82"/>
      <c r="E11" s="82">
        <f>100*1.5%</f>
        <v>1.5</v>
      </c>
      <c r="F11" s="91"/>
      <c r="G11" s="94"/>
    </row>
    <row r="12" s="60" customFormat="true" ht="13.5" spans="1:7">
      <c r="A12" s="80">
        <v>3</v>
      </c>
      <c r="B12" s="81" t="s">
        <v>72</v>
      </c>
      <c r="C12" s="82"/>
      <c r="D12" s="82"/>
      <c r="E12" s="82">
        <v>48.67</v>
      </c>
      <c r="F12" s="91"/>
      <c r="G12" s="94"/>
    </row>
    <row r="13" s="60" customFormat="true" ht="13.5" hidden="true" spans="1:7">
      <c r="A13" s="80">
        <v>4</v>
      </c>
      <c r="B13" s="81" t="s">
        <v>257</v>
      </c>
      <c r="C13" s="82"/>
      <c r="D13" s="82"/>
      <c r="E13" s="82">
        <v>0</v>
      </c>
      <c r="F13" s="91"/>
      <c r="G13" s="94"/>
    </row>
    <row r="14" s="60" customFormat="true" ht="13.5" spans="1:7">
      <c r="A14" s="80">
        <v>4</v>
      </c>
      <c r="B14" s="81" t="s">
        <v>74</v>
      </c>
      <c r="C14" s="82"/>
      <c r="D14" s="82"/>
      <c r="E14" s="82">
        <f>20+(2099-1000)*1.5%</f>
        <v>36.49</v>
      </c>
      <c r="F14" s="91"/>
      <c r="G14" s="94"/>
    </row>
    <row r="15" s="61" customFormat="true" ht="24" hidden="true" customHeight="true" spans="1:8">
      <c r="A15" s="80">
        <v>5</v>
      </c>
      <c r="B15" s="81" t="s">
        <v>75</v>
      </c>
      <c r="C15" s="82"/>
      <c r="D15" s="82"/>
      <c r="E15" s="82">
        <f>[2]改移概算汇总表2!G5*0.2%</f>
        <v>3.63</v>
      </c>
      <c r="F15" s="91"/>
      <c r="G15" s="94"/>
      <c r="H15" s="61">
        <v>8.41</v>
      </c>
    </row>
    <row r="16" s="61" customFormat="true" ht="24" hidden="true" customHeight="true" spans="1:8">
      <c r="A16" s="80">
        <v>7</v>
      </c>
      <c r="B16" s="81" t="s">
        <v>201</v>
      </c>
      <c r="C16" s="82"/>
      <c r="D16" s="82"/>
      <c r="E16" s="82">
        <f>5.7*0</f>
        <v>0</v>
      </c>
      <c r="F16" s="91"/>
      <c r="G16" s="94"/>
      <c r="H16" s="61">
        <v>5.7</v>
      </c>
    </row>
    <row r="17" s="61" customFormat="true" ht="27" spans="1:8">
      <c r="A17" s="80">
        <v>6</v>
      </c>
      <c r="B17" s="81" t="s">
        <v>76</v>
      </c>
      <c r="C17" s="82"/>
      <c r="D17" s="82"/>
      <c r="E17" s="82">
        <f>[2]改移概算汇总表2!G5*0.45%</f>
        <v>8.18</v>
      </c>
      <c r="F17" s="91"/>
      <c r="G17" s="94"/>
      <c r="H17" s="61">
        <v>5.26</v>
      </c>
    </row>
    <row r="18" s="62" customFormat="true" ht="13.5" spans="1:7">
      <c r="A18" s="80">
        <v>7</v>
      </c>
      <c r="B18" s="81" t="s">
        <v>77</v>
      </c>
      <c r="C18" s="82"/>
      <c r="D18" s="82"/>
      <c r="E18" s="82">
        <v>1.86</v>
      </c>
      <c r="F18" s="91"/>
      <c r="G18" s="94"/>
    </row>
    <row r="19" s="62" customFormat="true" ht="13.5" spans="1:7">
      <c r="A19" s="80">
        <v>8</v>
      </c>
      <c r="B19" s="81" t="s">
        <v>79</v>
      </c>
      <c r="C19" s="82"/>
      <c r="D19" s="82"/>
      <c r="E19" s="82">
        <f>([2]改移概算汇总表2!J7+[2]改移概算汇总表2!J8)*37.5/10000</f>
        <v>1.35</v>
      </c>
      <c r="F19" s="91"/>
      <c r="G19" s="94"/>
    </row>
    <row r="20" s="60" customFormat="true" ht="13.5" spans="1:7">
      <c r="A20" s="80">
        <v>9</v>
      </c>
      <c r="B20" s="81" t="s">
        <v>91</v>
      </c>
      <c r="C20" s="82"/>
      <c r="D20" s="82"/>
      <c r="E20" s="82">
        <v>0.6</v>
      </c>
      <c r="F20" s="91"/>
      <c r="G20" s="94"/>
    </row>
    <row r="21" s="60" customFormat="true" spans="1:7">
      <c r="A21" s="83"/>
      <c r="B21" s="84"/>
      <c r="C21" s="85"/>
      <c r="D21" s="85"/>
      <c r="E21" s="85"/>
      <c r="F21" s="85"/>
      <c r="G21" s="95"/>
    </row>
  </sheetData>
  <mergeCells count="4">
    <mergeCell ref="A1:G1"/>
    <mergeCell ref="A3:A4"/>
    <mergeCell ref="B3:B4"/>
    <mergeCell ref="G3:G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1" sqref="$A1:$XFD1048576"/>
    </sheetView>
  </sheetViews>
  <sheetFormatPr defaultColWidth="10" defaultRowHeight="15.75"/>
  <cols>
    <col min="1" max="1" width="7.5" style="7" customWidth="true"/>
    <col min="2" max="2" width="28.375" style="8" customWidth="true"/>
    <col min="3" max="5" width="12.25" style="8" customWidth="true"/>
    <col min="6" max="6" width="12" style="8" customWidth="true"/>
    <col min="7" max="7" width="9.25" style="8" customWidth="true"/>
    <col min="8" max="8" width="5.375" style="8" customWidth="true"/>
    <col min="9" max="9" width="9.125" style="9" customWidth="true"/>
    <col min="10" max="10" width="11.25" style="10" customWidth="true"/>
    <col min="11" max="11" width="10.75" style="8" customWidth="true"/>
    <col min="12" max="12" width="10.5" style="8" customWidth="true"/>
    <col min="13" max="13" width="10" style="11"/>
    <col min="14" max="14" width="12.375" style="49" customWidth="true"/>
    <col min="15" max="16384" width="10" style="11"/>
  </cols>
  <sheetData>
    <row r="1" s="1" customFormat="true" ht="21.75" spans="1:14">
      <c r="A1" s="12" t="s">
        <v>206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N1" s="51"/>
    </row>
    <row r="2" s="2" customFormat="true" ht="13.5" spans="1:14">
      <c r="A2" s="14" t="s">
        <v>248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34"/>
      <c r="N2" s="52"/>
    </row>
    <row r="3" s="3" customFormat="true" ht="14.25" customHeight="true" spans="1:14">
      <c r="A3" s="15" t="s">
        <v>1</v>
      </c>
      <c r="B3" s="16" t="s">
        <v>208</v>
      </c>
      <c r="C3" s="16" t="s">
        <v>209</v>
      </c>
      <c r="D3" s="16"/>
      <c r="E3" s="16"/>
      <c r="F3" s="16"/>
      <c r="G3" s="16" t="s">
        <v>210</v>
      </c>
      <c r="H3" s="16"/>
      <c r="I3" s="16"/>
      <c r="J3" s="16"/>
      <c r="K3" s="16"/>
      <c r="L3" s="35" t="s">
        <v>211</v>
      </c>
      <c r="N3" s="53"/>
    </row>
    <row r="4" s="3" customFormat="true" ht="22.5" spans="1:14">
      <c r="A4" s="15"/>
      <c r="B4" s="16"/>
      <c r="C4" s="16" t="s">
        <v>212</v>
      </c>
      <c r="D4" s="16" t="s">
        <v>213</v>
      </c>
      <c r="E4" s="16" t="s">
        <v>5</v>
      </c>
      <c r="F4" s="16" t="s">
        <v>8</v>
      </c>
      <c r="G4" s="16" t="s">
        <v>214</v>
      </c>
      <c r="H4" s="16" t="s">
        <v>215</v>
      </c>
      <c r="I4" s="36" t="s">
        <v>216</v>
      </c>
      <c r="J4" s="37" t="s">
        <v>217</v>
      </c>
      <c r="K4" s="16" t="s">
        <v>218</v>
      </c>
      <c r="L4" s="38"/>
      <c r="N4" s="53"/>
    </row>
    <row r="5" s="4" customFormat="true" ht="13.5" spans="1:14">
      <c r="A5" s="17"/>
      <c r="B5" s="18" t="s">
        <v>44</v>
      </c>
      <c r="C5" s="19">
        <f>C6+C7+C8+C9+C12+C14+C16+C22</f>
        <v>31.83</v>
      </c>
      <c r="D5" s="19">
        <f t="shared" ref="D5:E5" si="0">D6+D7+D8+D9+D12+D14+D16+D22</f>
        <v>0</v>
      </c>
      <c r="E5" s="19">
        <f t="shared" si="0"/>
        <v>63.4</v>
      </c>
      <c r="F5" s="19">
        <f>SUM(C5:E5)</f>
        <v>95.23</v>
      </c>
      <c r="G5" s="30" t="s">
        <v>260</v>
      </c>
      <c r="H5" s="31" t="s">
        <v>261</v>
      </c>
      <c r="I5" s="39">
        <f>I6</f>
        <v>60</v>
      </c>
      <c r="J5" s="40">
        <f>F5/I5*10000</f>
        <v>15871.67</v>
      </c>
      <c r="K5" s="41">
        <f>F5/$F$5</f>
        <v>1</v>
      </c>
      <c r="L5" s="42"/>
      <c r="N5" s="54"/>
    </row>
    <row r="6" s="3" customFormat="true" ht="13.5" spans="1:14">
      <c r="A6" s="20">
        <v>1</v>
      </c>
      <c r="B6" s="21" t="s">
        <v>14</v>
      </c>
      <c r="C6" s="22">
        <f>I6*J6/10000</f>
        <v>25.8</v>
      </c>
      <c r="D6" s="22"/>
      <c r="E6" s="22"/>
      <c r="F6" s="22">
        <f>SUM(C6:E6)</f>
        <v>25.8</v>
      </c>
      <c r="G6" s="32" t="s">
        <v>260</v>
      </c>
      <c r="H6" s="33" t="s">
        <v>261</v>
      </c>
      <c r="I6" s="43">
        <v>60</v>
      </c>
      <c r="J6" s="44">
        <v>4300</v>
      </c>
      <c r="K6" s="45">
        <f>F6/$F$5</f>
        <v>0.2709</v>
      </c>
      <c r="L6" s="26"/>
      <c r="N6" s="53"/>
    </row>
    <row r="7" s="5" customFormat="true" ht="13.5" spans="1:14">
      <c r="A7" s="24">
        <v>2</v>
      </c>
      <c r="B7" s="23" t="s">
        <v>15</v>
      </c>
      <c r="C7" s="22">
        <f>N7/10000</f>
        <v>6.03</v>
      </c>
      <c r="D7" s="22"/>
      <c r="E7" s="22"/>
      <c r="F7" s="22">
        <f t="shared" ref="F7:F22" si="1">SUM(C7:E7)</f>
        <v>6.03</v>
      </c>
      <c r="G7" s="32" t="s">
        <v>260</v>
      </c>
      <c r="H7" s="33" t="s">
        <v>261</v>
      </c>
      <c r="I7" s="43">
        <f>I6</f>
        <v>60</v>
      </c>
      <c r="J7" s="44">
        <f>F7/I7*10000</f>
        <v>1005</v>
      </c>
      <c r="K7" s="45">
        <f t="shared" ref="K7:K22" si="2">F7/$F$5</f>
        <v>0.0633</v>
      </c>
      <c r="L7" s="26"/>
      <c r="N7" s="48">
        <f>[1]Sheet3!E68</f>
        <v>60312.61</v>
      </c>
    </row>
    <row r="8" s="5" customFormat="true" ht="13.5" spans="1:14">
      <c r="A8" s="24" t="s">
        <v>16</v>
      </c>
      <c r="B8" s="23" t="s">
        <v>17</v>
      </c>
      <c r="C8" s="22"/>
      <c r="D8" s="22"/>
      <c r="E8" s="25">
        <f>N8/10000</f>
        <v>0.28</v>
      </c>
      <c r="F8" s="22">
        <f t="shared" si="1"/>
        <v>0.28</v>
      </c>
      <c r="G8" s="32" t="s">
        <v>260</v>
      </c>
      <c r="H8" s="33" t="s">
        <v>261</v>
      </c>
      <c r="I8" s="43">
        <f>I7</f>
        <v>60</v>
      </c>
      <c r="J8" s="44">
        <f t="shared" ref="J8:J21" si="3">F8/I8*10000</f>
        <v>46.67</v>
      </c>
      <c r="K8" s="45">
        <f t="shared" si="2"/>
        <v>0.0029</v>
      </c>
      <c r="L8" s="26"/>
      <c r="N8" s="48">
        <f>[1]Sheet3!E69</f>
        <v>2813.24</v>
      </c>
    </row>
    <row r="9" s="5" customFormat="true" ht="13.5" spans="1:14">
      <c r="A9" s="24" t="s">
        <v>18</v>
      </c>
      <c r="B9" s="23" t="s">
        <v>19</v>
      </c>
      <c r="C9" s="25"/>
      <c r="D9" s="25"/>
      <c r="E9" s="25">
        <f>E10+E11</f>
        <v>1.45</v>
      </c>
      <c r="F9" s="22">
        <f t="shared" si="1"/>
        <v>1.45</v>
      </c>
      <c r="G9" s="32" t="s">
        <v>260</v>
      </c>
      <c r="H9" s="33" t="s">
        <v>261</v>
      </c>
      <c r="I9" s="43">
        <f>I6</f>
        <v>60</v>
      </c>
      <c r="J9" s="44">
        <f t="shared" si="3"/>
        <v>241.67</v>
      </c>
      <c r="K9" s="45">
        <f t="shared" si="2"/>
        <v>0.0152</v>
      </c>
      <c r="L9" s="26"/>
      <c r="N9" s="48"/>
    </row>
    <row r="10" s="5" customFormat="true" ht="13.5" spans="1:14">
      <c r="A10" s="24" t="s">
        <v>120</v>
      </c>
      <c r="B10" s="23" t="s">
        <v>121</v>
      </c>
      <c r="C10" s="25"/>
      <c r="D10" s="25"/>
      <c r="E10" s="25">
        <f>N10/10000</f>
        <v>0.33</v>
      </c>
      <c r="F10" s="22">
        <f t="shared" si="1"/>
        <v>0.33</v>
      </c>
      <c r="G10" s="32" t="s">
        <v>260</v>
      </c>
      <c r="H10" s="33" t="s">
        <v>261</v>
      </c>
      <c r="I10" s="43">
        <f>I9</f>
        <v>60</v>
      </c>
      <c r="J10" s="44">
        <f t="shared" si="3"/>
        <v>55</v>
      </c>
      <c r="K10" s="45">
        <f t="shared" si="2"/>
        <v>0.0035</v>
      </c>
      <c r="L10" s="26"/>
      <c r="N10" s="48">
        <f>[1]Sheet3!E70</f>
        <v>3252.54</v>
      </c>
    </row>
    <row r="11" s="5" customFormat="true" ht="13.5" spans="1:14">
      <c r="A11" s="24" t="s">
        <v>122</v>
      </c>
      <c r="B11" s="23" t="s">
        <v>123</v>
      </c>
      <c r="C11" s="25"/>
      <c r="D11" s="25"/>
      <c r="E11" s="25">
        <f>N11/10000</f>
        <v>1.12</v>
      </c>
      <c r="F11" s="22">
        <f t="shared" si="1"/>
        <v>1.12</v>
      </c>
      <c r="G11" s="32" t="s">
        <v>260</v>
      </c>
      <c r="H11" s="33" t="s">
        <v>261</v>
      </c>
      <c r="I11" s="43">
        <f>I10</f>
        <v>60</v>
      </c>
      <c r="J11" s="44">
        <f t="shared" si="3"/>
        <v>186.67</v>
      </c>
      <c r="K11" s="45">
        <f t="shared" si="2"/>
        <v>0.0118</v>
      </c>
      <c r="L11" s="26"/>
      <c r="N11" s="48">
        <f>[1]Sheet3!E71</f>
        <v>11211.86</v>
      </c>
    </row>
    <row r="12" s="5" customFormat="true" ht="13.5" spans="1:12">
      <c r="A12" s="24" t="s">
        <v>20</v>
      </c>
      <c r="B12" s="23" t="s">
        <v>21</v>
      </c>
      <c r="C12" s="25"/>
      <c r="D12" s="25"/>
      <c r="E12" s="25">
        <f>E13</f>
        <v>54.17</v>
      </c>
      <c r="F12" s="22">
        <f t="shared" si="1"/>
        <v>54.17</v>
      </c>
      <c r="G12" s="32" t="s">
        <v>260</v>
      </c>
      <c r="H12" s="33" t="s">
        <v>261</v>
      </c>
      <c r="I12" s="43">
        <f>I6</f>
        <v>60</v>
      </c>
      <c r="J12" s="44">
        <f t="shared" si="3"/>
        <v>9028.33</v>
      </c>
      <c r="K12" s="45">
        <f t="shared" si="2"/>
        <v>0.5688</v>
      </c>
      <c r="L12" s="26"/>
    </row>
    <row r="13" s="5" customFormat="true" ht="13.5" spans="1:14">
      <c r="A13" s="24" t="s">
        <v>124</v>
      </c>
      <c r="B13" s="23" t="s">
        <v>127</v>
      </c>
      <c r="C13" s="25"/>
      <c r="D13" s="25"/>
      <c r="E13" s="25">
        <f>N13/10000</f>
        <v>54.17</v>
      </c>
      <c r="F13" s="22">
        <f t="shared" si="1"/>
        <v>54.17</v>
      </c>
      <c r="G13" s="32" t="s">
        <v>260</v>
      </c>
      <c r="H13" s="33" t="s">
        <v>261</v>
      </c>
      <c r="I13" s="43">
        <f>I6</f>
        <v>60</v>
      </c>
      <c r="J13" s="44">
        <f t="shared" si="3"/>
        <v>9028.33</v>
      </c>
      <c r="K13" s="45">
        <f t="shared" si="2"/>
        <v>0.5688</v>
      </c>
      <c r="L13" s="26"/>
      <c r="N13" s="48">
        <f>[1]Sheet3!E72</f>
        <v>541650.69</v>
      </c>
    </row>
    <row r="14" s="5" customFormat="true" ht="13.5" spans="1:12">
      <c r="A14" s="24" t="s">
        <v>22</v>
      </c>
      <c r="B14" s="23" t="s">
        <v>23</v>
      </c>
      <c r="C14" s="25"/>
      <c r="D14" s="25"/>
      <c r="E14" s="25">
        <f>E15</f>
        <v>2.83</v>
      </c>
      <c r="F14" s="22">
        <f t="shared" si="1"/>
        <v>2.83</v>
      </c>
      <c r="G14" s="32" t="s">
        <v>260</v>
      </c>
      <c r="H14" s="33" t="s">
        <v>261</v>
      </c>
      <c r="I14" s="43">
        <f>I13</f>
        <v>60</v>
      </c>
      <c r="J14" s="44">
        <f t="shared" si="3"/>
        <v>471.67</v>
      </c>
      <c r="K14" s="45">
        <f t="shared" si="2"/>
        <v>0.0297</v>
      </c>
      <c r="L14" s="26"/>
    </row>
    <row r="15" s="5" customFormat="true" ht="13.5" spans="1:14">
      <c r="A15" s="24" t="s">
        <v>128</v>
      </c>
      <c r="B15" s="23" t="s">
        <v>131</v>
      </c>
      <c r="C15" s="25"/>
      <c r="D15" s="25"/>
      <c r="E15" s="25">
        <f>N15/10000</f>
        <v>2.83</v>
      </c>
      <c r="F15" s="22">
        <f t="shared" si="1"/>
        <v>2.83</v>
      </c>
      <c r="G15" s="32" t="s">
        <v>260</v>
      </c>
      <c r="H15" s="33" t="s">
        <v>261</v>
      </c>
      <c r="I15" s="43">
        <f>I6</f>
        <v>60</v>
      </c>
      <c r="J15" s="44">
        <f t="shared" si="3"/>
        <v>471.67</v>
      </c>
      <c r="K15" s="45">
        <f t="shared" si="2"/>
        <v>0.0297</v>
      </c>
      <c r="L15" s="26"/>
      <c r="N15" s="48">
        <f>[1]Sheet3!E73</f>
        <v>28322.39</v>
      </c>
    </row>
    <row r="16" s="5" customFormat="true" ht="13.5" spans="1:12">
      <c r="A16" s="24" t="s">
        <v>24</v>
      </c>
      <c r="B16" s="23" t="s">
        <v>25</v>
      </c>
      <c r="C16" s="25"/>
      <c r="D16" s="25"/>
      <c r="E16" s="25">
        <f>SUM(E17:E21)</f>
        <v>4.37</v>
      </c>
      <c r="F16" s="22">
        <f t="shared" si="1"/>
        <v>4.37</v>
      </c>
      <c r="G16" s="32" t="s">
        <v>260</v>
      </c>
      <c r="H16" s="33" t="s">
        <v>261</v>
      </c>
      <c r="I16" s="43">
        <f t="shared" ref="I16:I21" si="4">I15</f>
        <v>60</v>
      </c>
      <c r="J16" s="44">
        <f t="shared" si="3"/>
        <v>728.33</v>
      </c>
      <c r="K16" s="45">
        <f t="shared" si="2"/>
        <v>0.0459</v>
      </c>
      <c r="L16" s="26"/>
    </row>
    <row r="17" s="5" customFormat="true" ht="13.5" spans="1:14">
      <c r="A17" s="24" t="s">
        <v>132</v>
      </c>
      <c r="B17" s="23" t="s">
        <v>141</v>
      </c>
      <c r="C17" s="25"/>
      <c r="D17" s="25"/>
      <c r="E17" s="25">
        <f>N17/10000</f>
        <v>0.37</v>
      </c>
      <c r="F17" s="22">
        <f t="shared" si="1"/>
        <v>0.37</v>
      </c>
      <c r="G17" s="32" t="s">
        <v>260</v>
      </c>
      <c r="H17" s="33" t="s">
        <v>261</v>
      </c>
      <c r="I17" s="43">
        <f t="shared" si="4"/>
        <v>60</v>
      </c>
      <c r="J17" s="44">
        <f t="shared" si="3"/>
        <v>61.67</v>
      </c>
      <c r="K17" s="45">
        <f t="shared" si="2"/>
        <v>0.0039</v>
      </c>
      <c r="L17" s="26"/>
      <c r="N17" s="48">
        <f>[1]Sheet3!E74</f>
        <v>3744.14</v>
      </c>
    </row>
    <row r="18" s="5" customFormat="true" ht="13.5" spans="1:14">
      <c r="A18" s="24" t="s">
        <v>134</v>
      </c>
      <c r="B18" s="23" t="s">
        <v>145</v>
      </c>
      <c r="C18" s="25"/>
      <c r="D18" s="25"/>
      <c r="E18" s="25">
        <f>N18/10000</f>
        <v>2.03</v>
      </c>
      <c r="F18" s="22">
        <f t="shared" si="1"/>
        <v>2.03</v>
      </c>
      <c r="G18" s="32" t="s">
        <v>260</v>
      </c>
      <c r="H18" s="33" t="s">
        <v>261</v>
      </c>
      <c r="I18" s="43">
        <f t="shared" si="4"/>
        <v>60</v>
      </c>
      <c r="J18" s="44">
        <f t="shared" si="3"/>
        <v>338.33</v>
      </c>
      <c r="K18" s="45">
        <f t="shared" si="2"/>
        <v>0.0213</v>
      </c>
      <c r="L18" s="26"/>
      <c r="N18" s="48">
        <f>[1]Sheet3!E75</f>
        <v>20321.73</v>
      </c>
    </row>
    <row r="19" s="5" customFormat="true" ht="13.5" spans="1:14">
      <c r="A19" s="24" t="s">
        <v>136</v>
      </c>
      <c r="B19" s="23" t="s">
        <v>188</v>
      </c>
      <c r="C19" s="25"/>
      <c r="D19" s="25"/>
      <c r="E19" s="25">
        <f>N19/10000</f>
        <v>0.48</v>
      </c>
      <c r="F19" s="22">
        <f t="shared" si="1"/>
        <v>0.48</v>
      </c>
      <c r="G19" s="32" t="s">
        <v>260</v>
      </c>
      <c r="H19" s="33" t="s">
        <v>261</v>
      </c>
      <c r="I19" s="43">
        <f t="shared" si="4"/>
        <v>60</v>
      </c>
      <c r="J19" s="44">
        <f t="shared" si="3"/>
        <v>80</v>
      </c>
      <c r="K19" s="45">
        <f t="shared" si="2"/>
        <v>0.005</v>
      </c>
      <c r="L19" s="26"/>
      <c r="N19" s="48">
        <f>[1]Sheet3!E76</f>
        <v>4783.36</v>
      </c>
    </row>
    <row r="20" s="5" customFormat="true" ht="13.5" spans="1:14">
      <c r="A20" s="24" t="s">
        <v>138</v>
      </c>
      <c r="B20" s="26" t="s">
        <v>149</v>
      </c>
      <c r="C20" s="25"/>
      <c r="D20" s="25"/>
      <c r="E20" s="25">
        <f>N20/10000</f>
        <v>0.72</v>
      </c>
      <c r="F20" s="22">
        <f t="shared" si="1"/>
        <v>0.72</v>
      </c>
      <c r="G20" s="32" t="s">
        <v>260</v>
      </c>
      <c r="H20" s="33" t="s">
        <v>261</v>
      </c>
      <c r="I20" s="43">
        <f t="shared" si="4"/>
        <v>60</v>
      </c>
      <c r="J20" s="44">
        <f t="shared" si="3"/>
        <v>120</v>
      </c>
      <c r="K20" s="45">
        <f t="shared" si="2"/>
        <v>0.0076</v>
      </c>
      <c r="L20" s="26"/>
      <c r="N20" s="48">
        <f>[1]Sheet3!E77</f>
        <v>7198.82</v>
      </c>
    </row>
    <row r="21" s="6" customFormat="true" ht="13.5" spans="1:14">
      <c r="A21" s="24" t="s">
        <v>140</v>
      </c>
      <c r="B21" s="23" t="s">
        <v>175</v>
      </c>
      <c r="C21" s="25"/>
      <c r="D21" s="25"/>
      <c r="E21" s="25">
        <f>N21/10000</f>
        <v>0.77</v>
      </c>
      <c r="F21" s="22">
        <f t="shared" si="1"/>
        <v>0.77</v>
      </c>
      <c r="G21" s="32" t="s">
        <v>260</v>
      </c>
      <c r="H21" s="33" t="s">
        <v>261</v>
      </c>
      <c r="I21" s="43">
        <f t="shared" si="4"/>
        <v>60</v>
      </c>
      <c r="J21" s="44">
        <f t="shared" si="3"/>
        <v>128.33</v>
      </c>
      <c r="K21" s="45">
        <f t="shared" si="2"/>
        <v>0.0081</v>
      </c>
      <c r="L21" s="26"/>
      <c r="N21" s="48">
        <f>[1]Sheet3!E78</f>
        <v>7730.47</v>
      </c>
    </row>
    <row r="22" s="5" customFormat="true" ht="13.5" spans="1:12">
      <c r="A22" s="24" t="s">
        <v>26</v>
      </c>
      <c r="B22" s="23" t="s">
        <v>33</v>
      </c>
      <c r="C22" s="25"/>
      <c r="D22" s="25"/>
      <c r="E22" s="25">
        <f>I22*J22/10000</f>
        <v>0.3</v>
      </c>
      <c r="F22" s="22">
        <f t="shared" si="1"/>
        <v>0.3</v>
      </c>
      <c r="G22" s="32" t="s">
        <v>260</v>
      </c>
      <c r="H22" s="33" t="s">
        <v>261</v>
      </c>
      <c r="I22" s="43">
        <f>I6</f>
        <v>60</v>
      </c>
      <c r="J22" s="44">
        <v>50</v>
      </c>
      <c r="K22" s="45">
        <f t="shared" si="2"/>
        <v>0.0032</v>
      </c>
      <c r="L22" s="26"/>
    </row>
  </sheetData>
  <mergeCells count="7">
    <mergeCell ref="A1:L1"/>
    <mergeCell ref="A2:K2"/>
    <mergeCell ref="C3:F3"/>
    <mergeCell ref="G3:K3"/>
    <mergeCell ref="A3:A4"/>
    <mergeCell ref="B3:B4"/>
    <mergeCell ref="L3:L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D29" sqref="D29"/>
    </sheetView>
  </sheetViews>
  <sheetFormatPr defaultColWidth="10" defaultRowHeight="15.75"/>
  <cols>
    <col min="1" max="1" width="7.5" style="7" customWidth="true"/>
    <col min="2" max="2" width="26.875" style="8" customWidth="true"/>
    <col min="3" max="5" width="12.25" style="8" customWidth="true"/>
    <col min="6" max="6" width="12" style="8" customWidth="true"/>
    <col min="7" max="7" width="9.25" style="8" customWidth="true"/>
    <col min="8" max="8" width="5.375" style="8" customWidth="true"/>
    <col min="9" max="9" width="9.125" style="9" customWidth="true"/>
    <col min="10" max="10" width="11.25" style="10" customWidth="true"/>
    <col min="11" max="11" width="12.625" style="8" customWidth="true"/>
    <col min="12" max="12" width="11.25" style="8" customWidth="true"/>
    <col min="13" max="13" width="10" style="11"/>
    <col min="14" max="14" width="12.375" style="49" customWidth="true"/>
    <col min="15" max="16384" width="10" style="11"/>
  </cols>
  <sheetData>
    <row r="1" s="1" customFormat="true" ht="21.75" spans="1:14">
      <c r="A1" s="12" t="s">
        <v>206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N1" s="51"/>
    </row>
    <row r="2" s="2" customFormat="true" ht="13.5" spans="1:14">
      <c r="A2" s="14" t="s">
        <v>248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50"/>
      <c r="N2" s="52"/>
    </row>
    <row r="3" s="3" customFormat="true" ht="14.25" customHeight="true" spans="1:14">
      <c r="A3" s="15" t="s">
        <v>1</v>
      </c>
      <c r="B3" s="16" t="s">
        <v>208</v>
      </c>
      <c r="C3" s="16" t="s">
        <v>209</v>
      </c>
      <c r="D3" s="16"/>
      <c r="E3" s="16"/>
      <c r="F3" s="16"/>
      <c r="G3" s="16" t="s">
        <v>210</v>
      </c>
      <c r="H3" s="16"/>
      <c r="I3" s="16"/>
      <c r="J3" s="16"/>
      <c r="K3" s="16"/>
      <c r="L3" s="16" t="s">
        <v>211</v>
      </c>
      <c r="N3" s="53"/>
    </row>
    <row r="4" s="3" customFormat="true" ht="22.5" spans="1:14">
      <c r="A4" s="15"/>
      <c r="B4" s="16"/>
      <c r="C4" s="16" t="s">
        <v>212</v>
      </c>
      <c r="D4" s="16" t="s">
        <v>213</v>
      </c>
      <c r="E4" s="16" t="s">
        <v>5</v>
      </c>
      <c r="F4" s="16" t="s">
        <v>8</v>
      </c>
      <c r="G4" s="16" t="s">
        <v>214</v>
      </c>
      <c r="H4" s="16" t="s">
        <v>215</v>
      </c>
      <c r="I4" s="36" t="s">
        <v>216</v>
      </c>
      <c r="J4" s="37" t="s">
        <v>217</v>
      </c>
      <c r="K4" s="16" t="s">
        <v>218</v>
      </c>
      <c r="L4" s="16"/>
      <c r="N4" s="53"/>
    </row>
    <row r="5" s="4" customFormat="true" ht="13.5" spans="1:14">
      <c r="A5" s="17"/>
      <c r="B5" s="18" t="s">
        <v>40</v>
      </c>
      <c r="C5" s="19">
        <f>C6+C7+C8+C9+C12+C14+C22</f>
        <v>304.3</v>
      </c>
      <c r="D5" s="19">
        <f>D6+D7+D8+D9+D12+D14+D22</f>
        <v>0</v>
      </c>
      <c r="E5" s="19">
        <f>E6+E7+E8+E9+E12+E14+E22</f>
        <v>355.72</v>
      </c>
      <c r="F5" s="19">
        <f>SUM(C5:E5)</f>
        <v>660.02</v>
      </c>
      <c r="G5" s="30" t="s">
        <v>260</v>
      </c>
      <c r="H5" s="31" t="s">
        <v>261</v>
      </c>
      <c r="I5" s="39">
        <f>I6</f>
        <v>300</v>
      </c>
      <c r="J5" s="40">
        <f>F5/I5*10000</f>
        <v>22000.67</v>
      </c>
      <c r="K5" s="41">
        <f>F5/$F$5</f>
        <v>1</v>
      </c>
      <c r="L5" s="42"/>
      <c r="N5" s="54"/>
    </row>
    <row r="6" s="3" customFormat="true" ht="13.5" spans="1:14">
      <c r="A6" s="20">
        <v>1</v>
      </c>
      <c r="B6" s="21" t="s">
        <v>14</v>
      </c>
      <c r="C6" s="22">
        <f>N6/10000</f>
        <v>290.45</v>
      </c>
      <c r="D6" s="22"/>
      <c r="E6" s="22"/>
      <c r="F6" s="22">
        <f>SUM(C6:E6)</f>
        <v>290.45</v>
      </c>
      <c r="G6" s="32" t="s">
        <v>260</v>
      </c>
      <c r="H6" s="33" t="s">
        <v>261</v>
      </c>
      <c r="I6" s="43">
        <v>300</v>
      </c>
      <c r="J6" s="44">
        <f>F6/I6*10000</f>
        <v>9681.67</v>
      </c>
      <c r="K6" s="45">
        <f>F6/$F$5</f>
        <v>0.4401</v>
      </c>
      <c r="L6" s="26"/>
      <c r="N6" s="53">
        <f>[1]Sheet3!E54</f>
        <v>2904547.32</v>
      </c>
    </row>
    <row r="7" s="5" customFormat="true" ht="13.5" spans="1:14">
      <c r="A7" s="24">
        <v>2</v>
      </c>
      <c r="B7" s="23" t="s">
        <v>15</v>
      </c>
      <c r="C7" s="22">
        <f>N7/10000</f>
        <v>13.85</v>
      </c>
      <c r="D7" s="22"/>
      <c r="E7" s="22"/>
      <c r="F7" s="22">
        <f t="shared" ref="F7:F22" si="0">SUM(C7:E7)</f>
        <v>13.85</v>
      </c>
      <c r="G7" s="32" t="s">
        <v>260</v>
      </c>
      <c r="H7" s="33" t="s">
        <v>261</v>
      </c>
      <c r="I7" s="43">
        <f>I6</f>
        <v>300</v>
      </c>
      <c r="J7" s="44">
        <f t="shared" ref="J7:J21" si="1">F7/I7*10000</f>
        <v>461.67</v>
      </c>
      <c r="K7" s="45">
        <f t="shared" ref="K7:K22" si="2">F7/$F$5</f>
        <v>0.021</v>
      </c>
      <c r="L7" s="26"/>
      <c r="N7" s="53">
        <f>[1]Sheet3!E55</f>
        <v>138522.48</v>
      </c>
    </row>
    <row r="8" s="5" customFormat="true" ht="13.5" spans="1:14">
      <c r="A8" s="24" t="s">
        <v>16</v>
      </c>
      <c r="B8" s="23" t="s">
        <v>42</v>
      </c>
      <c r="C8" s="22"/>
      <c r="D8" s="22"/>
      <c r="E8" s="25">
        <f>N8/10000</f>
        <v>320.2</v>
      </c>
      <c r="F8" s="22">
        <f t="shared" si="0"/>
        <v>320.2</v>
      </c>
      <c r="G8" s="32" t="s">
        <v>260</v>
      </c>
      <c r="H8" s="33" t="s">
        <v>261</v>
      </c>
      <c r="I8" s="43">
        <f>I6</f>
        <v>300</v>
      </c>
      <c r="J8" s="44">
        <f t="shared" si="1"/>
        <v>10673.33</v>
      </c>
      <c r="K8" s="45">
        <f t="shared" si="2"/>
        <v>0.4851</v>
      </c>
      <c r="L8" s="26"/>
      <c r="N8" s="53">
        <f>[1]Sheet3!E56</f>
        <v>3202032.52</v>
      </c>
    </row>
    <row r="9" s="5" customFormat="true" ht="13.5" spans="1:12">
      <c r="A9" s="24" t="s">
        <v>18</v>
      </c>
      <c r="B9" s="23" t="s">
        <v>19</v>
      </c>
      <c r="C9" s="25"/>
      <c r="D9" s="25"/>
      <c r="E9" s="25">
        <f>E10+E11</f>
        <v>8.71</v>
      </c>
      <c r="F9" s="22">
        <f t="shared" si="0"/>
        <v>8.71</v>
      </c>
      <c r="G9" s="32" t="s">
        <v>260</v>
      </c>
      <c r="H9" s="33" t="s">
        <v>261</v>
      </c>
      <c r="I9" s="43">
        <f>I6</f>
        <v>300</v>
      </c>
      <c r="J9" s="44">
        <f t="shared" si="1"/>
        <v>290.33</v>
      </c>
      <c r="K9" s="45">
        <f t="shared" si="2"/>
        <v>0.0132</v>
      </c>
      <c r="L9" s="26"/>
    </row>
    <row r="10" s="5" customFormat="true" ht="13.5" spans="1:14">
      <c r="A10" s="24" t="s">
        <v>120</v>
      </c>
      <c r="B10" s="23" t="s">
        <v>121</v>
      </c>
      <c r="C10" s="25"/>
      <c r="D10" s="25"/>
      <c r="E10" s="25">
        <f>N10/10000</f>
        <v>0.67</v>
      </c>
      <c r="F10" s="22">
        <f t="shared" si="0"/>
        <v>0.67</v>
      </c>
      <c r="G10" s="32" t="s">
        <v>260</v>
      </c>
      <c r="H10" s="33" t="s">
        <v>261</v>
      </c>
      <c r="I10" s="43">
        <f>I6</f>
        <v>300</v>
      </c>
      <c r="J10" s="44">
        <f t="shared" si="1"/>
        <v>22.33</v>
      </c>
      <c r="K10" s="45">
        <f t="shared" si="2"/>
        <v>0.001</v>
      </c>
      <c r="L10" s="26"/>
      <c r="N10" s="48">
        <f>[1]Sheet3!E57</f>
        <v>6672.7</v>
      </c>
    </row>
    <row r="11" s="5" customFormat="true" ht="13.5" spans="1:14">
      <c r="A11" s="24" t="s">
        <v>122</v>
      </c>
      <c r="B11" s="23" t="s">
        <v>123</v>
      </c>
      <c r="C11" s="25"/>
      <c r="D11" s="25"/>
      <c r="E11" s="25">
        <f>N11/10000</f>
        <v>8.04</v>
      </c>
      <c r="F11" s="22">
        <f t="shared" si="0"/>
        <v>8.04</v>
      </c>
      <c r="G11" s="32" t="s">
        <v>260</v>
      </c>
      <c r="H11" s="33" t="s">
        <v>261</v>
      </c>
      <c r="I11" s="43">
        <f>I6</f>
        <v>300</v>
      </c>
      <c r="J11" s="44">
        <f t="shared" si="1"/>
        <v>268</v>
      </c>
      <c r="K11" s="45">
        <f t="shared" si="2"/>
        <v>0.0122</v>
      </c>
      <c r="L11" s="26"/>
      <c r="N11" s="48">
        <f>[1]Sheet3!E58</f>
        <v>80364.87</v>
      </c>
    </row>
    <row r="12" s="5" customFormat="true" ht="13.5" spans="1:12">
      <c r="A12" s="24" t="s">
        <v>20</v>
      </c>
      <c r="B12" s="23" t="s">
        <v>23</v>
      </c>
      <c r="C12" s="25"/>
      <c r="D12" s="25"/>
      <c r="E12" s="25">
        <f>E13</f>
        <v>9.96</v>
      </c>
      <c r="F12" s="22">
        <f t="shared" si="0"/>
        <v>9.96</v>
      </c>
      <c r="G12" s="32" t="s">
        <v>260</v>
      </c>
      <c r="H12" s="33" t="s">
        <v>261</v>
      </c>
      <c r="I12" s="43">
        <f>I6</f>
        <v>300</v>
      </c>
      <c r="J12" s="44">
        <f t="shared" si="1"/>
        <v>332</v>
      </c>
      <c r="K12" s="45">
        <f t="shared" si="2"/>
        <v>0.0151</v>
      </c>
      <c r="L12" s="26"/>
    </row>
    <row r="13" s="5" customFormat="true" ht="13.5" spans="1:14">
      <c r="A13" s="24" t="s">
        <v>124</v>
      </c>
      <c r="B13" s="23" t="s">
        <v>131</v>
      </c>
      <c r="C13" s="25"/>
      <c r="D13" s="25"/>
      <c r="E13" s="25">
        <f>N13/10000</f>
        <v>9.96</v>
      </c>
      <c r="F13" s="22">
        <f t="shared" si="0"/>
        <v>9.96</v>
      </c>
      <c r="G13" s="32" t="s">
        <v>260</v>
      </c>
      <c r="H13" s="33" t="s">
        <v>261</v>
      </c>
      <c r="I13" s="43">
        <f>I6</f>
        <v>300</v>
      </c>
      <c r="J13" s="44">
        <f t="shared" si="1"/>
        <v>332</v>
      </c>
      <c r="K13" s="45">
        <f t="shared" si="2"/>
        <v>0.0151</v>
      </c>
      <c r="L13" s="26"/>
      <c r="N13" s="48">
        <f>[1]Sheet3!E59</f>
        <v>99645.79</v>
      </c>
    </row>
    <row r="14" s="5" customFormat="true" ht="13.5" spans="1:12">
      <c r="A14" s="24" t="s">
        <v>22</v>
      </c>
      <c r="B14" s="23" t="s">
        <v>25</v>
      </c>
      <c r="C14" s="25"/>
      <c r="D14" s="25"/>
      <c r="E14" s="25">
        <f>SUM(E15:E21)</f>
        <v>15.35</v>
      </c>
      <c r="F14" s="22">
        <f t="shared" si="0"/>
        <v>15.35</v>
      </c>
      <c r="G14" s="32" t="s">
        <v>260</v>
      </c>
      <c r="H14" s="33" t="s">
        <v>261</v>
      </c>
      <c r="I14" s="43">
        <f>I6</f>
        <v>300</v>
      </c>
      <c r="J14" s="44">
        <f t="shared" si="1"/>
        <v>511.67</v>
      </c>
      <c r="K14" s="45">
        <f t="shared" si="2"/>
        <v>0.0233</v>
      </c>
      <c r="L14" s="26"/>
    </row>
    <row r="15" s="5" customFormat="true" ht="13.5" spans="1:14">
      <c r="A15" s="24" t="s">
        <v>128</v>
      </c>
      <c r="B15" s="23" t="s">
        <v>184</v>
      </c>
      <c r="C15" s="25"/>
      <c r="D15" s="25"/>
      <c r="E15" s="25">
        <f>N15/10000</f>
        <v>4.71</v>
      </c>
      <c r="F15" s="22">
        <f t="shared" si="0"/>
        <v>4.71</v>
      </c>
      <c r="G15" s="32" t="s">
        <v>260</v>
      </c>
      <c r="H15" s="33" t="s">
        <v>261</v>
      </c>
      <c r="I15" s="43">
        <f>I6</f>
        <v>300</v>
      </c>
      <c r="J15" s="44">
        <f t="shared" si="1"/>
        <v>157</v>
      </c>
      <c r="K15" s="45">
        <f t="shared" si="2"/>
        <v>0.0071</v>
      </c>
      <c r="L15" s="26"/>
      <c r="N15" s="48">
        <f>[1]Sheet3!E60</f>
        <v>47090.57</v>
      </c>
    </row>
    <row r="16" s="5" customFormat="true" ht="13.5" spans="1:14">
      <c r="A16" s="24" t="s">
        <v>130</v>
      </c>
      <c r="B16" s="23" t="s">
        <v>135</v>
      </c>
      <c r="C16" s="25"/>
      <c r="D16" s="25"/>
      <c r="E16" s="25">
        <f t="shared" ref="E16:E21" si="3">N16/10000</f>
        <v>0.82</v>
      </c>
      <c r="F16" s="22">
        <f t="shared" si="0"/>
        <v>0.82</v>
      </c>
      <c r="G16" s="32" t="s">
        <v>260</v>
      </c>
      <c r="H16" s="33" t="s">
        <v>261</v>
      </c>
      <c r="I16" s="43">
        <f>I6</f>
        <v>300</v>
      </c>
      <c r="J16" s="44">
        <f t="shared" si="1"/>
        <v>27.33</v>
      </c>
      <c r="K16" s="45">
        <f t="shared" si="2"/>
        <v>0.0012</v>
      </c>
      <c r="L16" s="26"/>
      <c r="N16" s="48">
        <f>[1]Sheet3!E61</f>
        <v>8231.61</v>
      </c>
    </row>
    <row r="17" s="5" customFormat="true" ht="13.5" spans="1:14">
      <c r="A17" s="24" t="s">
        <v>185</v>
      </c>
      <c r="B17" s="23" t="s">
        <v>141</v>
      </c>
      <c r="C17" s="25"/>
      <c r="D17" s="25"/>
      <c r="E17" s="25">
        <f t="shared" si="3"/>
        <v>3.86</v>
      </c>
      <c r="F17" s="22">
        <f t="shared" si="0"/>
        <v>3.86</v>
      </c>
      <c r="G17" s="32" t="s">
        <v>260</v>
      </c>
      <c r="H17" s="33" t="s">
        <v>261</v>
      </c>
      <c r="I17" s="43">
        <f>I6</f>
        <v>300</v>
      </c>
      <c r="J17" s="44">
        <f t="shared" si="1"/>
        <v>128.67</v>
      </c>
      <c r="K17" s="45">
        <f t="shared" si="2"/>
        <v>0.0058</v>
      </c>
      <c r="L17" s="26"/>
      <c r="N17" s="48">
        <f>[1]Sheet3!E62</f>
        <v>38566.61</v>
      </c>
    </row>
    <row r="18" s="5" customFormat="true" ht="13.5" spans="1:14">
      <c r="A18" s="24" t="s">
        <v>186</v>
      </c>
      <c r="B18" s="26" t="s">
        <v>145</v>
      </c>
      <c r="C18" s="25"/>
      <c r="D18" s="25"/>
      <c r="E18" s="25">
        <f t="shared" si="3"/>
        <v>2.03</v>
      </c>
      <c r="F18" s="22">
        <f t="shared" si="0"/>
        <v>2.03</v>
      </c>
      <c r="G18" s="32" t="s">
        <v>260</v>
      </c>
      <c r="H18" s="33" t="s">
        <v>261</v>
      </c>
      <c r="I18" s="43">
        <f>I6</f>
        <v>300</v>
      </c>
      <c r="J18" s="44">
        <f t="shared" si="1"/>
        <v>67.67</v>
      </c>
      <c r="K18" s="45">
        <f t="shared" si="2"/>
        <v>0.0031</v>
      </c>
      <c r="L18" s="26"/>
      <c r="N18" s="48">
        <f>[1]Sheet3!E63</f>
        <v>20321.73</v>
      </c>
    </row>
    <row r="19" s="6" customFormat="true" ht="13.5" spans="1:14">
      <c r="A19" s="24" t="s">
        <v>187</v>
      </c>
      <c r="B19" s="23" t="s">
        <v>188</v>
      </c>
      <c r="C19" s="25"/>
      <c r="D19" s="25"/>
      <c r="E19" s="25">
        <f t="shared" si="3"/>
        <v>0.62</v>
      </c>
      <c r="F19" s="22">
        <f t="shared" si="0"/>
        <v>0.62</v>
      </c>
      <c r="G19" s="32" t="s">
        <v>260</v>
      </c>
      <c r="H19" s="33" t="s">
        <v>261</v>
      </c>
      <c r="I19" s="43">
        <f>I6</f>
        <v>300</v>
      </c>
      <c r="J19" s="44">
        <f t="shared" si="1"/>
        <v>20.67</v>
      </c>
      <c r="K19" s="45">
        <f t="shared" si="2"/>
        <v>0.0009</v>
      </c>
      <c r="L19" s="26"/>
      <c r="N19" s="48">
        <f>[1]Sheet3!E64</f>
        <v>6216.14</v>
      </c>
    </row>
    <row r="20" s="5" customFormat="true" ht="13.5" spans="1:14">
      <c r="A20" s="24" t="s">
        <v>189</v>
      </c>
      <c r="B20" s="27" t="s">
        <v>149</v>
      </c>
      <c r="C20" s="25"/>
      <c r="D20" s="25"/>
      <c r="E20" s="25">
        <f t="shared" si="3"/>
        <v>1.01</v>
      </c>
      <c r="F20" s="22">
        <f t="shared" si="0"/>
        <v>1.01</v>
      </c>
      <c r="G20" s="32" t="s">
        <v>260</v>
      </c>
      <c r="H20" s="33" t="s">
        <v>261</v>
      </c>
      <c r="I20" s="43">
        <f>I6</f>
        <v>300</v>
      </c>
      <c r="J20" s="44">
        <f t="shared" si="1"/>
        <v>33.67</v>
      </c>
      <c r="K20" s="45">
        <f t="shared" si="2"/>
        <v>0.0015</v>
      </c>
      <c r="L20" s="26"/>
      <c r="N20" s="48">
        <f>[1]Sheet3!E65</f>
        <v>10114.6</v>
      </c>
    </row>
    <row r="21" s="5" customFormat="true" ht="13.5" spans="1:14">
      <c r="A21" s="24" t="s">
        <v>190</v>
      </c>
      <c r="B21" s="26" t="s">
        <v>175</v>
      </c>
      <c r="C21" s="25"/>
      <c r="D21" s="25"/>
      <c r="E21" s="25">
        <f t="shared" si="3"/>
        <v>2.3</v>
      </c>
      <c r="F21" s="22">
        <f t="shared" si="0"/>
        <v>2.3</v>
      </c>
      <c r="G21" s="32" t="s">
        <v>260</v>
      </c>
      <c r="H21" s="33" t="s">
        <v>261</v>
      </c>
      <c r="I21" s="46">
        <f>I6</f>
        <v>300</v>
      </c>
      <c r="J21" s="44">
        <f t="shared" si="1"/>
        <v>76.67</v>
      </c>
      <c r="K21" s="45">
        <f t="shared" si="2"/>
        <v>0.0035</v>
      </c>
      <c r="L21" s="47"/>
      <c r="N21" s="48">
        <f>[1]Sheet3!E66</f>
        <v>23040.93</v>
      </c>
    </row>
    <row r="22" s="5" customFormat="true" ht="13.5" spans="1:12">
      <c r="A22" s="24" t="s">
        <v>24</v>
      </c>
      <c r="B22" s="23" t="s">
        <v>33</v>
      </c>
      <c r="C22" s="25"/>
      <c r="D22" s="25"/>
      <c r="E22" s="25">
        <f>I22*J22/10000</f>
        <v>1.5</v>
      </c>
      <c r="F22" s="22">
        <f t="shared" si="0"/>
        <v>1.5</v>
      </c>
      <c r="G22" s="32" t="s">
        <v>260</v>
      </c>
      <c r="H22" s="33" t="s">
        <v>261</v>
      </c>
      <c r="I22" s="43">
        <f>I6</f>
        <v>300</v>
      </c>
      <c r="J22" s="44">
        <v>50</v>
      </c>
      <c r="K22" s="45">
        <f t="shared" si="2"/>
        <v>0.0023</v>
      </c>
      <c r="L22" s="26"/>
    </row>
  </sheetData>
  <mergeCells count="7">
    <mergeCell ref="A1:L1"/>
    <mergeCell ref="A2:K2"/>
    <mergeCell ref="C3:F3"/>
    <mergeCell ref="G3:K3"/>
    <mergeCell ref="A3:A4"/>
    <mergeCell ref="B3:B4"/>
    <mergeCell ref="L3:L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Sheet10</vt:lpstr>
      <vt:lpstr>Sheet9</vt:lpstr>
      <vt:lpstr>Sheet1</vt:lpstr>
      <vt:lpstr>室外</vt:lpstr>
      <vt:lpstr>改移</vt:lpstr>
      <vt:lpstr>其他1</vt:lpstr>
      <vt:lpstr>其他2</vt:lpstr>
      <vt:lpstr>液氧</vt:lpstr>
      <vt:lpstr>污水</vt:lpstr>
      <vt:lpstr>妇产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钱真真</dc:creator>
  <cp:lastModifiedBy>guest</cp:lastModifiedBy>
  <dcterms:created xsi:type="dcterms:W3CDTF">2015-06-06T02:19:00Z</dcterms:created>
  <dcterms:modified xsi:type="dcterms:W3CDTF">2022-06-05T09:11:37Z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