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45" windowHeight="12975" tabRatio="842" firstSheet="1" activeTab="1"/>
  </bookViews>
  <sheets>
    <sheet name="汇总表" sheetId="10" state="hidden" r:id="rId1"/>
    <sheet name="服务基础教育信息技术应用大楼" sheetId="6" r:id="rId2"/>
    <sheet name="服务基础教育信息技术应用大楼 (2)" sheetId="15" state="hidden" r:id="rId3"/>
    <sheet name="宁夏师范学院风雨操场项目 (3)" sheetId="14" state="hidden" r:id="rId4"/>
    <sheet name="成本测算" sheetId="13" state="hidden" r:id="rId5"/>
    <sheet name="标准运动场项目 (3)" sheetId="12" state="hidden" r:id="rId6"/>
    <sheet name="宁夏师范学院风雨操场项目 (2)" sheetId="9" state="hidden" r:id="rId7"/>
    <sheet name="标准运动场项目 (2)" sheetId="8" state="hidden" r:id="rId8"/>
  </sheets>
  <externalReferences>
    <externalReference r:id="rId9"/>
  </externalReferences>
  <definedNames>
    <definedName name="_xlnm.Print_Area" localSheetId="1">服务基础教育信息技术应用大楼!$A$1:$M$50</definedName>
    <definedName name="_xlnm.Print_Area" localSheetId="3">'宁夏师范学院风雨操场项目 (3)'!$A$1:$K$59</definedName>
    <definedName name="_xlnm.Print_Titles" localSheetId="7">'标准运动场项目 (2)'!$1:$4</definedName>
    <definedName name="_xlnm.Print_Titles" localSheetId="5">'标准运动场项目 (3)'!$1:$4</definedName>
    <definedName name="_xlnm.Print_Titles" localSheetId="1">服务基础教育信息技术应用大楼!$1:$3</definedName>
    <definedName name="_xlnm.Print_Titles" localSheetId="6">'宁夏师范学院风雨操场项目 (2)'!$1:$4</definedName>
    <definedName name="_xlnm.Print_Titles" localSheetId="3">'宁夏师范学院风雨操场项目 (3)'!$1:$4</definedName>
    <definedName name="_xlnm.Print_Area" localSheetId="0">汇总表!$A$1:$K$9</definedName>
    <definedName name="_xlnm.Print_Area" localSheetId="2">'服务基础教育信息技术应用大楼 (2)'!$A$1:$K$51</definedName>
    <definedName name="_xlnm.Print_Titles" localSheetId="2">'服务基础教育信息技术应用大楼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<sst xmlns="http://schemas.openxmlformats.org/spreadsheetml/2006/main" count="919" uniqueCount="387">
  <si>
    <t>投资概算汇总表</t>
  </si>
  <si>
    <t>序号</t>
  </si>
  <si>
    <t>工程或费用名称</t>
  </si>
  <si>
    <t xml:space="preserve">  概  算  金  额（万元）</t>
  </si>
  <si>
    <t>技术经济指标</t>
  </si>
  <si>
    <t>占投资额(%)</t>
  </si>
  <si>
    <t>建筑工程费</t>
  </si>
  <si>
    <t>设备购置费</t>
  </si>
  <si>
    <t>安装工程费</t>
  </si>
  <si>
    <t>其他费用</t>
  </si>
  <si>
    <t>合计</t>
  </si>
  <si>
    <t>单位</t>
  </si>
  <si>
    <t>数量</t>
  </si>
  <si>
    <t>单位
价值</t>
  </si>
  <si>
    <t>一</t>
  </si>
  <si>
    <t>工程费用</t>
  </si>
  <si>
    <t>㎡</t>
  </si>
  <si>
    <t>二</t>
  </si>
  <si>
    <t>工程建设其他费用</t>
  </si>
  <si>
    <t>三</t>
  </si>
  <si>
    <r>
      <rPr>
        <sz val="14"/>
        <rFont val="Times New Roman"/>
        <charset val="134"/>
      </rPr>
      <t xml:space="preserve"> </t>
    </r>
    <r>
      <rPr>
        <sz val="14"/>
        <rFont val="宋体"/>
        <charset val="134"/>
      </rPr>
      <t>预备费</t>
    </r>
  </si>
  <si>
    <t>四</t>
  </si>
  <si>
    <t>项目总投资</t>
  </si>
  <si>
    <t>投资比(%)</t>
  </si>
  <si>
    <t>其他费</t>
  </si>
  <si>
    <t>预备费</t>
  </si>
  <si>
    <t>总投资</t>
  </si>
  <si>
    <t>宁夏师范大学服务基础教育信息技术应用大楼项目审定概算表</t>
  </si>
  <si>
    <r>
      <rPr>
        <b/>
        <sz val="14"/>
        <rFont val="宋体"/>
        <charset val="134"/>
      </rPr>
      <t>序号</t>
    </r>
  </si>
  <si>
    <r>
      <rPr>
        <b/>
        <sz val="14"/>
        <rFont val="宋体"/>
        <charset val="134"/>
      </rPr>
      <t>项目名称</t>
    </r>
  </si>
  <si>
    <r>
      <rPr>
        <b/>
        <sz val="14"/>
        <rFont val="宋体"/>
        <charset val="134"/>
      </rPr>
      <t>工程量</t>
    </r>
  </si>
  <si>
    <r>
      <rPr>
        <b/>
        <sz val="14"/>
        <rFont val="宋体"/>
        <charset val="134"/>
      </rPr>
      <t>概算价值（万元）</t>
    </r>
  </si>
  <si>
    <r>
      <rPr>
        <b/>
        <sz val="14"/>
        <rFont val="宋体"/>
        <charset val="134"/>
      </rPr>
      <t>技术经济指标（元）</t>
    </r>
  </si>
  <si>
    <r>
      <rPr>
        <b/>
        <sz val="14"/>
        <rFont val="宋体"/>
        <charset val="134"/>
      </rPr>
      <t>占投资额（</t>
    </r>
    <r>
      <rPr>
        <b/>
        <sz val="14"/>
        <rFont val="Times New Roman"/>
        <charset val="134"/>
      </rPr>
      <t>%</t>
    </r>
    <r>
      <rPr>
        <b/>
        <sz val="14"/>
        <rFont val="宋体"/>
        <charset val="134"/>
      </rPr>
      <t>）</t>
    </r>
  </si>
  <si>
    <r>
      <rPr>
        <b/>
        <sz val="12"/>
        <rFont val="宋体"/>
        <charset val="134"/>
      </rPr>
      <t>单位</t>
    </r>
  </si>
  <si>
    <r>
      <rPr>
        <b/>
        <sz val="12"/>
        <rFont val="宋体"/>
        <charset val="134"/>
      </rPr>
      <t>数量</t>
    </r>
  </si>
  <si>
    <r>
      <rPr>
        <b/>
        <sz val="12"/>
        <rFont val="宋体"/>
        <charset val="134"/>
      </rPr>
      <t>建</t>
    </r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筑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工程费</t>
    </r>
  </si>
  <si>
    <r>
      <rPr>
        <b/>
        <sz val="12"/>
        <rFont val="宋体"/>
        <charset val="134"/>
      </rPr>
      <t>设</t>
    </r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备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购置费</t>
    </r>
  </si>
  <si>
    <r>
      <rPr>
        <b/>
        <sz val="12"/>
        <rFont val="宋体"/>
        <charset val="134"/>
      </rPr>
      <t>安</t>
    </r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装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工程费</t>
    </r>
  </si>
  <si>
    <r>
      <rPr>
        <b/>
        <sz val="12"/>
        <rFont val="宋体"/>
        <charset val="134"/>
      </rPr>
      <t>其</t>
    </r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他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费</t>
    </r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用</t>
    </r>
  </si>
  <si>
    <r>
      <rPr>
        <b/>
        <sz val="12"/>
        <rFont val="宋体"/>
        <charset val="134"/>
      </rPr>
      <t>合计</t>
    </r>
  </si>
  <si>
    <r>
      <rPr>
        <b/>
        <sz val="14"/>
        <rFont val="宋体"/>
        <charset val="134"/>
      </rPr>
      <t>单位</t>
    </r>
  </si>
  <si>
    <r>
      <rPr>
        <b/>
        <sz val="14"/>
        <rFont val="宋体"/>
        <charset val="134"/>
      </rPr>
      <t>数量</t>
    </r>
  </si>
  <si>
    <r>
      <rPr>
        <b/>
        <sz val="14"/>
        <rFont val="宋体"/>
        <charset val="134"/>
      </rPr>
      <t>单位价值</t>
    </r>
  </si>
  <si>
    <r>
      <rPr>
        <b/>
        <sz val="14"/>
        <rFont val="宋体"/>
        <charset val="134"/>
      </rPr>
      <t>一</t>
    </r>
  </si>
  <si>
    <r>
      <rPr>
        <b/>
        <sz val="14"/>
        <rFont val="宋体"/>
        <charset val="134"/>
      </rPr>
      <t>工程费用</t>
    </r>
  </si>
  <si>
    <r>
      <rPr>
        <b/>
        <sz val="14"/>
        <rFont val="宋体"/>
        <charset val="134"/>
      </rPr>
      <t>㎡</t>
    </r>
  </si>
  <si>
    <r>
      <rPr>
        <b/>
        <sz val="14"/>
        <rFont val="宋体"/>
        <charset val="134"/>
      </rPr>
      <t>（一）</t>
    </r>
  </si>
  <si>
    <r>
      <rPr>
        <b/>
        <sz val="14"/>
        <rFont val="宋体"/>
        <charset val="134"/>
      </rPr>
      <t>服务基础教育信息技术应用大</t>
    </r>
    <r>
      <rPr>
        <b/>
        <sz val="14"/>
        <rFont val="Times New Roman"/>
        <charset val="134"/>
      </rPr>
      <t xml:space="preserve">
</t>
    </r>
    <r>
      <rPr>
        <b/>
        <sz val="14"/>
        <rFont val="宋体"/>
        <charset val="134"/>
      </rPr>
      <t>楼</t>
    </r>
  </si>
  <si>
    <r>
      <rPr>
        <sz val="14"/>
        <rFont val="宋体"/>
        <charset val="134"/>
      </rPr>
      <t>㎡</t>
    </r>
  </si>
  <si>
    <r>
      <rPr>
        <sz val="14"/>
        <color rgb="FF000000"/>
        <rFont val="宋体"/>
        <charset val="134"/>
      </rPr>
      <t>建筑及装饰装修工程</t>
    </r>
  </si>
  <si>
    <r>
      <rPr>
        <sz val="14"/>
        <color rgb="FF000000"/>
        <rFont val="宋体"/>
        <charset val="134"/>
      </rPr>
      <t>给排水及消防喷淋</t>
    </r>
  </si>
  <si>
    <r>
      <rPr>
        <sz val="14"/>
        <color rgb="FF000000"/>
        <rFont val="宋体"/>
        <charset val="134"/>
      </rPr>
      <t>太阳能光伏</t>
    </r>
  </si>
  <si>
    <r>
      <rPr>
        <sz val="14"/>
        <rFont val="宋体"/>
        <charset val="134"/>
      </rPr>
      <t>套</t>
    </r>
  </si>
  <si>
    <r>
      <rPr>
        <sz val="14"/>
        <rFont val="宋体"/>
        <charset val="134"/>
      </rPr>
      <t>采暖及通风</t>
    </r>
  </si>
  <si>
    <r>
      <rPr>
        <sz val="14"/>
        <rFont val="宋体"/>
        <charset val="134"/>
      </rPr>
      <t>强弱电</t>
    </r>
  </si>
  <si>
    <r>
      <rPr>
        <sz val="14"/>
        <rFont val="宋体"/>
        <charset val="134"/>
      </rPr>
      <t>电梯</t>
    </r>
  </si>
  <si>
    <r>
      <rPr>
        <sz val="14"/>
        <rFont val="宋体"/>
        <charset val="134"/>
      </rPr>
      <t>部</t>
    </r>
  </si>
  <si>
    <r>
      <rPr>
        <b/>
        <sz val="14"/>
        <rFont val="宋体"/>
        <charset val="134"/>
      </rPr>
      <t>（二）</t>
    </r>
  </si>
  <si>
    <r>
      <rPr>
        <b/>
        <sz val="14"/>
        <color theme="1"/>
        <rFont val="宋体"/>
        <charset val="134"/>
      </rPr>
      <t>室外附属工程</t>
    </r>
  </si>
  <si>
    <r>
      <rPr>
        <b/>
        <sz val="14"/>
        <rFont val="宋体"/>
        <charset val="134"/>
      </rPr>
      <t>万元</t>
    </r>
  </si>
  <si>
    <r>
      <rPr>
        <sz val="14"/>
        <rFont val="宋体"/>
        <charset val="134"/>
      </rPr>
      <t>混凝土硬化工程</t>
    </r>
  </si>
  <si>
    <r>
      <rPr>
        <sz val="14"/>
        <color theme="1"/>
        <rFont val="宋体"/>
        <charset val="134"/>
      </rPr>
      <t>土方工程</t>
    </r>
  </si>
  <si>
    <t>m³</t>
  </si>
  <si>
    <r>
      <rPr>
        <sz val="14"/>
        <color theme="1"/>
        <rFont val="宋体"/>
        <charset val="134"/>
      </rPr>
      <t>混凝土道牙工程</t>
    </r>
  </si>
  <si>
    <t>m</t>
  </si>
  <si>
    <r>
      <rPr>
        <sz val="14"/>
        <rFont val="宋体"/>
        <charset val="134"/>
      </rPr>
      <t>绿化工程</t>
    </r>
  </si>
  <si>
    <r>
      <rPr>
        <sz val="14"/>
        <rFont val="宋体"/>
        <charset val="134"/>
      </rPr>
      <t>移植树木</t>
    </r>
  </si>
  <si>
    <r>
      <rPr>
        <sz val="14"/>
        <rFont val="宋体"/>
        <charset val="134"/>
      </rPr>
      <t>棵</t>
    </r>
  </si>
  <si>
    <r>
      <rPr>
        <sz val="14"/>
        <rFont val="宋体"/>
        <charset val="134"/>
      </rPr>
      <t>水外网</t>
    </r>
  </si>
  <si>
    <r>
      <rPr>
        <sz val="14"/>
        <rFont val="宋体"/>
        <charset val="134"/>
      </rPr>
      <t>暖外网</t>
    </r>
  </si>
  <si>
    <r>
      <rPr>
        <sz val="14"/>
        <rFont val="宋体"/>
        <charset val="134"/>
      </rPr>
      <t>电外网</t>
    </r>
  </si>
  <si>
    <r>
      <rPr>
        <b/>
        <sz val="14"/>
        <rFont val="宋体"/>
        <charset val="134"/>
      </rPr>
      <t>（三）</t>
    </r>
  </si>
  <si>
    <r>
      <rPr>
        <b/>
        <sz val="14"/>
        <rFont val="宋体"/>
        <charset val="134"/>
      </rPr>
      <t>拆除工程</t>
    </r>
  </si>
  <si>
    <r>
      <rPr>
        <sz val="14"/>
        <rFont val="宋体"/>
        <charset val="134"/>
      </rPr>
      <t>原有教学综合楼拆除</t>
    </r>
  </si>
  <si>
    <r>
      <rPr>
        <sz val="14"/>
        <rFont val="宋体"/>
        <charset val="134"/>
      </rPr>
      <t>绿化拆除</t>
    </r>
  </si>
  <si>
    <r>
      <rPr>
        <b/>
        <sz val="14"/>
        <rFont val="宋体"/>
        <charset val="134"/>
      </rPr>
      <t>二</t>
    </r>
  </si>
  <si>
    <r>
      <rPr>
        <b/>
        <sz val="14"/>
        <rFont val="宋体"/>
        <charset val="134"/>
      </rPr>
      <t>工程建设其他费用</t>
    </r>
  </si>
  <si>
    <r>
      <rPr>
        <sz val="14"/>
        <rFont val="宋体"/>
        <charset val="134"/>
      </rPr>
      <t>项目建设管理费</t>
    </r>
  </si>
  <si>
    <r>
      <rPr>
        <sz val="14"/>
        <rFont val="宋体"/>
        <charset val="134"/>
      </rPr>
      <t>万元</t>
    </r>
  </si>
  <si>
    <r>
      <rPr>
        <sz val="14"/>
        <rFont val="宋体"/>
        <charset val="134"/>
      </rPr>
      <t>勘察测量费</t>
    </r>
  </si>
  <si>
    <r>
      <rPr>
        <sz val="14"/>
        <rFont val="宋体"/>
        <charset val="134"/>
      </rPr>
      <t>工程监理费</t>
    </r>
  </si>
  <si>
    <r>
      <rPr>
        <sz val="14"/>
        <rFont val="宋体"/>
        <charset val="134"/>
      </rPr>
      <t>设计费</t>
    </r>
  </si>
  <si>
    <r>
      <rPr>
        <sz val="14"/>
        <rFont val="宋体"/>
        <charset val="134"/>
      </rPr>
      <t>可行性研编制及审查费</t>
    </r>
  </si>
  <si>
    <r>
      <rPr>
        <sz val="14"/>
        <rFont val="宋体"/>
        <charset val="134"/>
      </rPr>
      <t>编制清单及招标控制价</t>
    </r>
  </si>
  <si>
    <r>
      <rPr>
        <sz val="14"/>
        <rFont val="宋体"/>
        <charset val="134"/>
      </rPr>
      <t>清单及招标控制价审核费</t>
    </r>
  </si>
  <si>
    <r>
      <rPr>
        <sz val="14"/>
        <rFont val="宋体"/>
        <charset val="134"/>
      </rPr>
      <t>勘察及设计施工图审查费</t>
    </r>
  </si>
  <si>
    <r>
      <t>BIM</t>
    </r>
    <r>
      <rPr>
        <sz val="14"/>
        <rFont val="宋体"/>
        <charset val="134"/>
      </rPr>
      <t>技术服务费（设计阶段、施工阶段）</t>
    </r>
  </si>
  <si>
    <r>
      <rPr>
        <sz val="14"/>
        <rFont val="宋体"/>
        <charset val="134"/>
      </rPr>
      <t>平方米</t>
    </r>
  </si>
  <si>
    <r>
      <t>BIM</t>
    </r>
    <r>
      <rPr>
        <sz val="14"/>
        <rFont val="宋体"/>
        <charset val="134"/>
      </rPr>
      <t>审查费</t>
    </r>
  </si>
  <si>
    <t xml:space="preserve">      </t>
  </si>
  <si>
    <r>
      <rPr>
        <sz val="14"/>
        <rFont val="宋体"/>
        <charset val="134"/>
      </rPr>
      <t>施工阶段全过程造价控制（含结算审核）</t>
    </r>
  </si>
  <si>
    <r>
      <rPr>
        <sz val="14"/>
        <rFont val="宋体"/>
        <charset val="134"/>
      </rPr>
      <t>工程招标代理服务费</t>
    </r>
  </si>
  <si>
    <r>
      <rPr>
        <sz val="14"/>
        <rFont val="宋体"/>
        <charset val="134"/>
      </rPr>
      <t>工程质量检测试验费</t>
    </r>
  </si>
  <si>
    <r>
      <rPr>
        <sz val="14"/>
        <rFont val="宋体"/>
        <charset val="134"/>
      </rPr>
      <t>财务决算编制及审核</t>
    </r>
  </si>
  <si>
    <r>
      <rPr>
        <sz val="14"/>
        <rFont val="宋体"/>
        <charset val="134"/>
      </rPr>
      <t>高可靠供电费</t>
    </r>
  </si>
  <si>
    <t>KVA</t>
  </si>
  <si>
    <r>
      <rPr>
        <sz val="14"/>
        <rFont val="宋体"/>
        <charset val="134"/>
      </rPr>
      <t>节能评价费</t>
    </r>
  </si>
  <si>
    <r>
      <rPr>
        <sz val="14"/>
        <rFont val="宋体"/>
        <charset val="134"/>
      </rPr>
      <t>环境影响咨询评价</t>
    </r>
  </si>
  <si>
    <r>
      <rPr>
        <sz val="14"/>
        <rFont val="宋体"/>
        <charset val="134"/>
      </rPr>
      <t>场地地震安全评价费</t>
    </r>
  </si>
  <si>
    <r>
      <rPr>
        <sz val="14"/>
        <rFont val="宋体"/>
        <charset val="134"/>
      </rPr>
      <t>水土保持方案编制服务费</t>
    </r>
  </si>
  <si>
    <r>
      <rPr>
        <sz val="14"/>
        <rFont val="宋体"/>
        <charset val="134"/>
      </rPr>
      <t>采暖增容费</t>
    </r>
  </si>
  <si>
    <r>
      <rPr>
        <sz val="14"/>
        <rFont val="宋体"/>
        <charset val="134"/>
      </rPr>
      <t>环境检测费</t>
    </r>
  </si>
  <si>
    <r>
      <rPr>
        <sz val="14"/>
        <rFont val="宋体"/>
        <charset val="134"/>
      </rPr>
      <t>防雷检测费</t>
    </r>
  </si>
  <si>
    <r>
      <rPr>
        <sz val="14"/>
        <rFont val="宋体"/>
        <charset val="134"/>
      </rPr>
      <t>消防检测费</t>
    </r>
  </si>
  <si>
    <r>
      <rPr>
        <sz val="14"/>
        <rFont val="宋体"/>
        <charset val="134"/>
      </rPr>
      <t>桩基检测费</t>
    </r>
  </si>
  <si>
    <r>
      <rPr>
        <b/>
        <sz val="14"/>
        <rFont val="宋体"/>
        <charset val="134"/>
      </rPr>
      <t>三</t>
    </r>
  </si>
  <si>
    <r>
      <rPr>
        <b/>
        <sz val="14"/>
        <rFont val="宋体"/>
        <charset val="134"/>
      </rPr>
      <t>预备费</t>
    </r>
  </si>
  <si>
    <r>
      <rPr>
        <b/>
        <sz val="14"/>
        <rFont val="宋体"/>
        <charset val="134"/>
      </rPr>
      <t>四</t>
    </r>
  </si>
  <si>
    <r>
      <rPr>
        <b/>
        <sz val="14"/>
        <rFont val="宋体"/>
        <charset val="134"/>
      </rPr>
      <t>项目总投资</t>
    </r>
  </si>
  <si>
    <r>
      <rPr>
        <b/>
        <sz val="14"/>
        <rFont val="宋体"/>
        <charset val="134"/>
      </rPr>
      <t>平方米</t>
    </r>
  </si>
  <si>
    <t>投资概算综合表</t>
  </si>
  <si>
    <t>工程项目：宁夏师范大学服务基础教育信息技术应用大楼建设项目</t>
  </si>
  <si>
    <t>项目名称</t>
  </si>
  <si>
    <t>概算价值（万元）</t>
  </si>
  <si>
    <t>技术经济指标（元）</t>
  </si>
  <si>
    <t>占投资额（%）</t>
  </si>
  <si>
    <t>单位价值</t>
  </si>
  <si>
    <t>（一）</t>
  </si>
  <si>
    <t>服务基础教育信息技术应用大
楼</t>
  </si>
  <si>
    <t>建筑及装饰装修工程</t>
  </si>
  <si>
    <t>给排水及消防喷淋</t>
  </si>
  <si>
    <t>太阳能光伏</t>
  </si>
  <si>
    <t>套</t>
  </si>
  <si>
    <t>采暖及通风</t>
  </si>
  <si>
    <t>强弱电</t>
  </si>
  <si>
    <t>电梯</t>
  </si>
  <si>
    <t>部</t>
  </si>
  <si>
    <t>（二）</t>
  </si>
  <si>
    <t>室外附属工程</t>
  </si>
  <si>
    <t>万元</t>
  </si>
  <si>
    <t>混凝土硬化工程</t>
  </si>
  <si>
    <t>土方工程</t>
  </si>
  <si>
    <t>混凝土道牙工程</t>
  </si>
  <si>
    <t>绿化工程</t>
  </si>
  <si>
    <t>移植树木</t>
  </si>
  <si>
    <t>棵</t>
  </si>
  <si>
    <t>水外网</t>
  </si>
  <si>
    <t>暖外网</t>
  </si>
  <si>
    <t>电外网</t>
  </si>
  <si>
    <t>（三）</t>
  </si>
  <si>
    <t>拆除工程</t>
  </si>
  <si>
    <t>原有教学综合楼拆除</t>
  </si>
  <si>
    <t>绿化拆除</t>
  </si>
  <si>
    <t>项目建设管理费</t>
  </si>
  <si>
    <t>勘察测量费</t>
  </si>
  <si>
    <t>工程监理费</t>
  </si>
  <si>
    <t>设计费</t>
  </si>
  <si>
    <t>编制清单及招标控制价</t>
  </si>
  <si>
    <t>清单及招标控制价审核费</t>
  </si>
  <si>
    <t>勘察及设计施工图审查费</t>
  </si>
  <si>
    <t>BIM技术服务费（设计阶段、施工阶段）</t>
  </si>
  <si>
    <t>平方米</t>
  </si>
  <si>
    <t>BIM审查费</t>
  </si>
  <si>
    <t>施工阶段全过程造价控制（含结算审核）</t>
  </si>
  <si>
    <t>工程招标代理服务费</t>
  </si>
  <si>
    <t>工程质量检测试验费</t>
  </si>
  <si>
    <t>可行性研编制及审查费</t>
  </si>
  <si>
    <t>财务决算编制及审核</t>
  </si>
  <si>
    <t>高可靠供电费</t>
  </si>
  <si>
    <t>节能评价费</t>
  </si>
  <si>
    <t>环境影响咨询评价</t>
  </si>
  <si>
    <t>场地地震安全评价费</t>
  </si>
  <si>
    <t>水土保持方案编制服务费</t>
  </si>
  <si>
    <t>采暖增容费</t>
  </si>
  <si>
    <t>环境检测费</t>
  </si>
  <si>
    <t>防雷检测费</t>
  </si>
  <si>
    <t>消防检测费</t>
  </si>
  <si>
    <t>桩基检测费</t>
  </si>
  <si>
    <t>可研投资</t>
  </si>
  <si>
    <t>初设概算</t>
  </si>
  <si>
    <t>差</t>
  </si>
  <si>
    <t>工程费</t>
  </si>
  <si>
    <t>工程建设其他费</t>
  </si>
  <si>
    <t>投   资  估  算  表</t>
  </si>
  <si>
    <t>工程项目：宁夏师范学院“升大创博”重点建设项目（一期）——风雨操场项目</t>
  </si>
  <si>
    <t>估算价值（万元）</t>
  </si>
  <si>
    <t>风雨操场</t>
  </si>
  <si>
    <t>装饰</t>
  </si>
  <si>
    <t>建筑</t>
  </si>
  <si>
    <t>给排水及消防、喷淋工程</t>
  </si>
  <si>
    <t>采暖及通风工程</t>
  </si>
  <si>
    <t>强电工程</t>
  </si>
  <si>
    <t>弱电工程</t>
  </si>
  <si>
    <t>抗震支架工程</t>
  </si>
  <si>
    <t>货梯</t>
  </si>
  <si>
    <t>无障碍客梯</t>
  </si>
  <si>
    <t>太阳能光伏系统</t>
  </si>
  <si>
    <t>KW</t>
  </si>
  <si>
    <t>场地挖填土方工程</t>
  </si>
  <si>
    <t>硬化广场</t>
  </si>
  <si>
    <t>混凝土道路</t>
  </si>
  <si>
    <t>停车位</t>
  </si>
  <si>
    <t>水外网工程</t>
  </si>
  <si>
    <t>钢丝网骨架DN100</t>
  </si>
  <si>
    <t>钢筋混凝土排水管道DN300</t>
  </si>
  <si>
    <t>地下式室外消火栓(SA100/65)</t>
  </si>
  <si>
    <t>个</t>
  </si>
  <si>
    <t>矩形钢筋混凝土给水阀门井（1.4m*1.4m）</t>
  </si>
  <si>
    <t>座</t>
  </si>
  <si>
    <t>雨水口</t>
  </si>
  <si>
    <t>化粪池（75m³）</t>
  </si>
  <si>
    <t>矩形钢筋混凝土排水检查井（1m*1m）</t>
  </si>
  <si>
    <t>暖外网工程</t>
  </si>
  <si>
    <t>直埋保温管DN200</t>
  </si>
  <si>
    <t>钢筋混凝土检查井1.5m*1.5m</t>
  </si>
  <si>
    <t>钢筋混凝土补偿器井（2m*2m）</t>
  </si>
  <si>
    <t>电外网工程</t>
  </si>
  <si>
    <t>电缆</t>
  </si>
  <si>
    <t>电井</t>
  </si>
  <si>
    <t>路灯</t>
  </si>
  <si>
    <t>盏</t>
  </si>
  <si>
    <t>400KVA箱变</t>
  </si>
  <si>
    <t>台</t>
  </si>
  <si>
    <t>2.场地地震安全评价费是否计入</t>
  </si>
  <si>
    <t>工程设计费</t>
  </si>
  <si>
    <t>施工图审查费</t>
  </si>
  <si>
    <t>全过程跟踪审计费</t>
  </si>
  <si>
    <t>建设工程质量检测试验费</t>
  </si>
  <si>
    <t>可行性研究报告编制及评价费</t>
  </si>
  <si>
    <t>项目建议书编制及评审费</t>
  </si>
  <si>
    <t>编制竣工决算费</t>
  </si>
  <si>
    <t>审核竣工结算费</t>
  </si>
  <si>
    <t>三通一平费</t>
  </si>
  <si>
    <t>项</t>
  </si>
  <si>
    <t>水土保持方案编制费</t>
  </si>
  <si>
    <t>风雨操场成本测算表</t>
  </si>
  <si>
    <t>建筑面积</t>
  </si>
  <si>
    <t>每平米工程含量</t>
  </si>
  <si>
    <t>工程量</t>
  </si>
  <si>
    <t>单方造价（元）</t>
  </si>
  <si>
    <t>总造价（万元）</t>
  </si>
  <si>
    <t>单方建筑面积造价（元/平米）</t>
  </si>
  <si>
    <t>备注</t>
  </si>
  <si>
    <t>建筑工程</t>
  </si>
  <si>
    <t>3:7灰土夯填2米</t>
  </si>
  <si>
    <t>素土回填2米</t>
  </si>
  <si>
    <t>基础处理打桩</t>
  </si>
  <si>
    <t>根</t>
  </si>
  <si>
    <t>混凝土</t>
  </si>
  <si>
    <t>砌体工程</t>
  </si>
  <si>
    <t>玻璃幕墙</t>
  </si>
  <si>
    <t>钢材</t>
  </si>
  <si>
    <t>t</t>
  </si>
  <si>
    <t>模板</t>
  </si>
  <si>
    <t>钢结构顶子</t>
  </si>
  <si>
    <t>铝镁锰板</t>
  </si>
  <si>
    <t>室外大台阶</t>
  </si>
  <si>
    <t>措施项目垂直运输脚手架、大型机械</t>
  </si>
  <si>
    <t>装饰与装修工程</t>
  </si>
  <si>
    <t>门窗</t>
  </si>
  <si>
    <t>楼地面</t>
  </si>
  <si>
    <t>天棚吊顶</t>
  </si>
  <si>
    <t>内墙面</t>
  </si>
  <si>
    <t>外墙面（穿孔铝板装饰）</t>
  </si>
  <si>
    <t>外墙保温</t>
  </si>
  <si>
    <t>外墙真石漆</t>
  </si>
  <si>
    <t>安装工程</t>
  </si>
  <si>
    <t>给排水及消防喷淋工程</t>
  </si>
  <si>
    <t>采暖及通风、防排烟工程</t>
  </si>
  <si>
    <t>空调工程</t>
  </si>
  <si>
    <t>强弱电及消防工程</t>
  </si>
  <si>
    <t>变配电室</t>
  </si>
  <si>
    <t>水</t>
  </si>
  <si>
    <t>太阳能集热器</t>
  </si>
  <si>
    <t>吨</t>
  </si>
  <si>
    <t>工程项目：宁夏师范学院“升大创博”重点建设项目（一期）-田径运动场项目</t>
  </si>
  <si>
    <t>指标</t>
  </si>
  <si>
    <t>看台</t>
  </si>
  <si>
    <t>土建及装饰装修工程（含减隔震）</t>
  </si>
  <si>
    <t>给排水工程、消防及喷淋工程</t>
  </si>
  <si>
    <t>采暖工程</t>
  </si>
  <si>
    <t>通风排烟系统</t>
  </si>
  <si>
    <t>强弱电工程</t>
  </si>
  <si>
    <t>抗震支架</t>
  </si>
  <si>
    <t>变配电设备</t>
  </si>
  <si>
    <t>附属工程</t>
  </si>
  <si>
    <t>硬质铺装</t>
  </si>
  <si>
    <t>水外线</t>
  </si>
  <si>
    <t>暖外线</t>
  </si>
  <si>
    <t>电外线</t>
  </si>
  <si>
    <t>塑胶铺装</t>
  </si>
  <si>
    <t>球场围栏</t>
  </si>
  <si>
    <t>室外高杆灯</t>
  </si>
  <si>
    <t>看台膜结构遮阳雨棚</t>
  </si>
  <si>
    <t>室外看台座椅</t>
  </si>
  <si>
    <t>球场人工草坪</t>
  </si>
  <si>
    <t>铅球、跳远场地沙坑</t>
  </si>
  <si>
    <t>器械</t>
  </si>
  <si>
    <t>地质勘察费</t>
  </si>
  <si>
    <t>清单及控制价编制费</t>
  </si>
  <si>
    <t>施工阶段全过程造价控制</t>
  </si>
  <si>
    <t>审核竣工决算</t>
  </si>
  <si>
    <t>一次调整</t>
  </si>
  <si>
    <t>二次调整</t>
  </si>
  <si>
    <t>三次调整</t>
  </si>
  <si>
    <t>编制竣工决算</t>
  </si>
  <si>
    <t>施工图设计费</t>
  </si>
  <si>
    <t>可行性研究报告编制费</t>
  </si>
  <si>
    <t>项目建议书编制费</t>
  </si>
  <si>
    <t>招标服务费</t>
  </si>
  <si>
    <t>水土保持设施验收费</t>
  </si>
  <si>
    <t>工程项目：宁夏师范学院风雨操场项目</t>
  </si>
  <si>
    <t>建筑主体工程（含减隔震）</t>
  </si>
  <si>
    <t>室内外装饰装修工程</t>
  </si>
  <si>
    <t>给排水、消防、喷淋工程</t>
  </si>
  <si>
    <t>电气工程</t>
  </si>
  <si>
    <t>室内变电所</t>
  </si>
  <si>
    <t>高压柜</t>
  </si>
  <si>
    <t>KYN28</t>
  </si>
  <si>
    <t>9面</t>
  </si>
  <si>
    <t>电梯工程</t>
  </si>
  <si>
    <t>变压器</t>
  </si>
  <si>
    <t>2台</t>
  </si>
  <si>
    <t>400KWA</t>
  </si>
  <si>
    <t>太阳能光伏板</t>
  </si>
  <si>
    <t>低压柜</t>
  </si>
  <si>
    <t>15面</t>
  </si>
  <si>
    <t>铺砖道路</t>
  </si>
  <si>
    <t>沥青混凝土道路</t>
  </si>
  <si>
    <t>绿化种植及种植土换填</t>
  </si>
  <si>
    <t>外网采暖管道</t>
  </si>
  <si>
    <t>DN200</t>
  </si>
  <si>
    <t>170米</t>
  </si>
  <si>
    <t>1.5深度</t>
  </si>
  <si>
    <t>绿化喷灌工程</t>
  </si>
  <si>
    <t>DN150</t>
  </si>
  <si>
    <t>80米</t>
  </si>
  <si>
    <t>化粪池</t>
  </si>
  <si>
    <t>固定支墩</t>
  </si>
  <si>
    <t>庭院灯</t>
  </si>
  <si>
    <t>阀门检查井1.8*1.6*1.8</t>
  </si>
  <si>
    <t>PE给水塑料管DN150安装</t>
  </si>
  <si>
    <t>消防管道球墨铸铁管DN150安装</t>
  </si>
  <si>
    <t>室外消火栓</t>
  </si>
  <si>
    <t>钢筋混凝土排水管DN300安装</t>
  </si>
  <si>
    <t>钢筋混凝土雨水管DN300安装</t>
  </si>
  <si>
    <t>雨水检查井（井径1m）</t>
  </si>
  <si>
    <t>排水检查井（井径1m）</t>
  </si>
  <si>
    <t>消防阀门井（井径1m）</t>
  </si>
  <si>
    <t>给水阀门井
（井径1m）</t>
  </si>
  <si>
    <t>补偿器DN200</t>
  </si>
  <si>
    <t xml:space="preserve">个 </t>
  </si>
  <si>
    <t>水表井（井径1m）</t>
  </si>
  <si>
    <t>管道垫层</t>
  </si>
  <si>
    <t>管道及井土方</t>
  </si>
  <si>
    <t>外网采暖管道DN200安装</t>
  </si>
  <si>
    <t>外网采暖管道DN150安装</t>
  </si>
  <si>
    <t>热计量DN100带数据远传功能</t>
  </si>
  <si>
    <t>外网采暖土方工程</t>
  </si>
  <si>
    <t>砂垫层</t>
  </si>
  <si>
    <t>面</t>
  </si>
  <si>
    <t>400KVA变压器</t>
  </si>
  <si>
    <t>YJV10-3*95</t>
  </si>
  <si>
    <t>电缆保护管SC150</t>
  </si>
  <si>
    <t>弱电检查井</t>
  </si>
  <si>
    <t>直通井</t>
  </si>
  <si>
    <t>三通井</t>
  </si>
  <si>
    <t>线管及井土方工程</t>
  </si>
  <si>
    <t>成品活动看台可伸缩座椅</t>
  </si>
  <si>
    <t>（四）</t>
  </si>
  <si>
    <t>成品活动看台固定座椅</t>
  </si>
  <si>
    <t>（五）</t>
  </si>
  <si>
    <t>教学体育设施用品及开办费</t>
  </si>
  <si>
    <t>可研编制及评审费</t>
  </si>
  <si>
    <t>工程保险费</t>
  </si>
  <si>
    <t>节能评审费</t>
  </si>
  <si>
    <t>2元/㎡</t>
  </si>
  <si>
    <t>水资源费</t>
  </si>
  <si>
    <t>交通评价费</t>
  </si>
  <si>
    <t>KWA</t>
  </si>
  <si>
    <t>工程项目：宁夏师范学院标准运动场项目</t>
  </si>
  <si>
    <t>土建及装饰装修工程</t>
  </si>
  <si>
    <t>给排水、消防工程</t>
  </si>
  <si>
    <t>看台防护栏杆</t>
  </si>
  <si>
    <t>高杆灯4个</t>
  </si>
  <si>
    <t>污水检查井</t>
  </si>
  <si>
    <t>成品足球架</t>
  </si>
  <si>
    <t>室外高杆灯（25m高）</t>
  </si>
  <si>
    <t>可伸缩终点裁判台</t>
  </si>
  <si>
    <t>膜结构遮阳雨棚</t>
  </si>
  <si>
    <t>塑胶跑道</t>
  </si>
  <si>
    <t>混凝土基层</t>
  </si>
  <si>
    <t>人工草坪</t>
  </si>
  <si>
    <t>铺装</t>
  </si>
  <si>
    <t>运动场内环沟</t>
  </si>
  <si>
    <t>跳远、三级跳区域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</si>
</sst>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);[Red]\(0\)"/>
    <numFmt numFmtId="179" formatCode="0.0_);[Red]\(0.0\)"/>
    <numFmt numFmtId="180" formatCode="0.0_ "/>
    <numFmt numFmtId="181" formatCode="0_ "/>
    <numFmt numFmtId="182" formatCode="0.0;[Red]0.0"/>
    <numFmt numFmtId="183" formatCode="0.00;[Red]0.00"/>
    <numFmt numFmtId="184" formatCode="0;[Red]0"/>
  </numFmts>
  <fonts count="49">
    <font>
      <sz val="10"/>
      <color theme="1"/>
      <name val="Arial"/>
      <charset val="134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22"/>
      <name val="宋体"/>
      <charset val="134"/>
    </font>
    <font>
      <b/>
      <sz val="14"/>
      <name val="宋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b/>
      <sz val="14"/>
      <color theme="1"/>
      <name val="宋体"/>
      <charset val="134"/>
    </font>
    <font>
      <b/>
      <sz val="12"/>
      <color rgb="FFFF0000"/>
      <name val="宋体"/>
      <charset val="134"/>
    </font>
    <font>
      <b/>
      <sz val="12"/>
      <color theme="1"/>
      <name val="宋体"/>
      <charset val="134"/>
    </font>
    <font>
      <sz val="28"/>
      <name val="宋体"/>
      <charset val="134"/>
    </font>
    <font>
      <b/>
      <sz val="14"/>
      <color rgb="FFFF0000"/>
      <name val="宋体"/>
      <charset val="134"/>
    </font>
    <font>
      <b/>
      <sz val="10"/>
      <color theme="1"/>
      <name val="Arial"/>
      <charset val="134"/>
    </font>
    <font>
      <sz val="20"/>
      <color theme="1"/>
      <name val="宋体"/>
      <charset val="134"/>
    </font>
    <font>
      <sz val="20"/>
      <color theme="1"/>
      <name val="Arial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24"/>
      <name val="宋体"/>
      <charset val="134"/>
    </font>
    <font>
      <sz val="14"/>
      <color theme="1"/>
      <name val="宋体"/>
      <charset val="134"/>
    </font>
    <font>
      <b/>
      <sz val="24"/>
      <name val="Times New Roman"/>
      <charset val="134"/>
    </font>
    <font>
      <b/>
      <sz val="14"/>
      <name val="Times New Roman"/>
      <charset val="134"/>
    </font>
    <font>
      <b/>
      <sz val="12"/>
      <name val="Times New Roman"/>
      <charset val="134"/>
    </font>
    <font>
      <sz val="14"/>
      <name val="Times New Roman"/>
      <charset val="134"/>
    </font>
    <font>
      <sz val="14"/>
      <color rgb="FF000000"/>
      <name val="Times New Roman"/>
      <charset val="134"/>
    </font>
    <font>
      <b/>
      <sz val="14"/>
      <color theme="1"/>
      <name val="Times New Roman"/>
      <charset val="134"/>
    </font>
    <font>
      <sz val="14"/>
      <color theme="1"/>
      <name val="Times New Roman"/>
      <charset val="134"/>
    </font>
    <font>
      <b/>
      <sz val="14"/>
      <color rgb="FF000000"/>
      <name val="Times New Roman"/>
      <charset val="134"/>
    </font>
    <font>
      <sz val="24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6" borderId="18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7" borderId="21" applyNumberFormat="0" applyAlignment="0" applyProtection="0">
      <alignment vertical="center"/>
    </xf>
    <xf numFmtId="0" fontId="39" fillId="8" borderId="22" applyNumberFormat="0" applyAlignment="0" applyProtection="0">
      <alignment vertical="center"/>
    </xf>
    <xf numFmtId="0" fontId="40" fillId="8" borderId="21" applyNumberFormat="0" applyAlignment="0" applyProtection="0">
      <alignment vertical="center"/>
    </xf>
    <xf numFmtId="0" fontId="41" fillId="9" borderId="23" applyNumberFormat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3" fillId="0" borderId="25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</cellStyleXfs>
  <cellXfs count="373">
    <xf numFmtId="0" fontId="0" fillId="0" borderId="0" xfId="0"/>
    <xf numFmtId="176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177" fontId="3" fillId="2" borderId="1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right" vertical="center"/>
    </xf>
    <xf numFmtId="178" fontId="5" fillId="0" borderId="4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left" vertical="center"/>
    </xf>
    <xf numFmtId="179" fontId="7" fillId="2" borderId="1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right" vertical="center"/>
    </xf>
    <xf numFmtId="179" fontId="3" fillId="0" borderId="4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vertical="center"/>
    </xf>
    <xf numFmtId="177" fontId="3" fillId="0" borderId="4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right" vertical="center"/>
    </xf>
    <xf numFmtId="177" fontId="7" fillId="2" borderId="1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176" fontId="5" fillId="3" borderId="1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76" fontId="3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/>
    </xf>
    <xf numFmtId="176" fontId="3" fillId="2" borderId="1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176" fontId="5" fillId="0" borderId="6" xfId="0" applyNumberFormat="1" applyFont="1" applyFill="1" applyBorder="1" applyAlignment="1">
      <alignment vertical="center"/>
    </xf>
    <xf numFmtId="176" fontId="4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Border="1" applyAlignment="1">
      <alignment horizontal="left" vertical="center" wrapText="1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left" vertical="center"/>
    </xf>
    <xf numFmtId="177" fontId="3" fillId="2" borderId="1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0" fontId="5" fillId="0" borderId="8" xfId="0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10" fontId="3" fillId="0" borderId="1" xfId="0" applyNumberFormat="1" applyFont="1" applyFill="1" applyBorder="1" applyAlignment="1">
      <alignment horizontal="right" vertical="center"/>
    </xf>
    <xf numFmtId="10" fontId="5" fillId="0" borderId="8" xfId="0" applyNumberFormat="1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left" vertical="center"/>
    </xf>
    <xf numFmtId="10" fontId="3" fillId="2" borderId="1" xfId="0" applyNumberFormat="1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 applyProtection="1">
      <alignment horizontal="right" vertical="center"/>
    </xf>
    <xf numFmtId="10" fontId="5" fillId="0" borderId="1" xfId="0" applyNumberFormat="1" applyFont="1" applyFill="1" applyBorder="1" applyAlignment="1">
      <alignment horizontal="right" vertical="center"/>
    </xf>
    <xf numFmtId="10" fontId="8" fillId="0" borderId="8" xfId="0" applyNumberFormat="1" applyFont="1" applyFill="1" applyBorder="1" applyAlignment="1" applyProtection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10" fontId="5" fillId="0" borderId="9" xfId="0" applyNumberFormat="1" applyFont="1" applyFill="1" applyBorder="1" applyAlignment="1">
      <alignment horizontal="right" vertical="center"/>
    </xf>
    <xf numFmtId="176" fontId="2" fillId="2" borderId="0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right" vertical="center" wrapText="1"/>
    </xf>
    <xf numFmtId="178" fontId="5" fillId="0" borderId="4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left" vertical="center" wrapText="1"/>
    </xf>
    <xf numFmtId="178" fontId="3" fillId="0" borderId="4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/>
    </xf>
    <xf numFmtId="177" fontId="8" fillId="0" borderId="1" xfId="0" applyNumberFormat="1" applyFont="1" applyFill="1" applyBorder="1" applyAlignment="1">
      <alignment horizontal="left" vertical="center"/>
    </xf>
    <xf numFmtId="180" fontId="3" fillId="0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176" fontId="3" fillId="0" borderId="4" xfId="0" applyNumberFormat="1" applyFont="1" applyFill="1" applyBorder="1" applyAlignment="1">
      <alignment horizontal="center" vertical="center"/>
    </xf>
    <xf numFmtId="181" fontId="5" fillId="0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left" vertical="center"/>
    </xf>
    <xf numFmtId="176" fontId="8" fillId="0" borderId="1" xfId="0" applyNumberFormat="1" applyFont="1" applyFill="1" applyBorder="1" applyAlignment="1">
      <alignment horizontal="right" vertical="center"/>
    </xf>
    <xf numFmtId="176" fontId="8" fillId="0" borderId="1" xfId="0" applyNumberFormat="1" applyFont="1" applyFill="1" applyBorder="1" applyAlignment="1">
      <alignment horizontal="left" vertical="center"/>
    </xf>
    <xf numFmtId="176" fontId="11" fillId="0" borderId="0" xfId="0" applyNumberFormat="1" applyFont="1" applyFill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 vertical="center"/>
    </xf>
    <xf numFmtId="10" fontId="5" fillId="0" borderId="8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176" fontId="5" fillId="0" borderId="8" xfId="0" applyNumberFormat="1" applyFont="1" applyFill="1" applyBorder="1" applyAlignment="1">
      <alignment horizontal="right" vertical="center"/>
    </xf>
    <xf numFmtId="177" fontId="3" fillId="2" borderId="8" xfId="0" applyNumberFormat="1" applyFont="1" applyFill="1" applyBorder="1" applyAlignment="1">
      <alignment horizontal="right" vertical="center"/>
    </xf>
    <xf numFmtId="177" fontId="5" fillId="2" borderId="1" xfId="0" applyNumberFormat="1" applyFont="1" applyFill="1" applyBorder="1" applyAlignment="1">
      <alignment horizontal="right" vertical="center"/>
    </xf>
    <xf numFmtId="177" fontId="12" fillId="2" borderId="8" xfId="0" applyNumberFormat="1" applyFont="1" applyFill="1" applyBorder="1" applyAlignment="1">
      <alignment horizontal="right" vertical="center"/>
    </xf>
    <xf numFmtId="177" fontId="8" fillId="2" borderId="8" xfId="0" applyNumberFormat="1" applyFont="1" applyFill="1" applyBorder="1" applyAlignment="1">
      <alignment horizontal="center" vertical="center"/>
    </xf>
    <xf numFmtId="10" fontId="5" fillId="2" borderId="8" xfId="0" applyNumberFormat="1" applyFont="1" applyFill="1" applyBorder="1" applyAlignment="1">
      <alignment horizontal="right" vertical="center"/>
    </xf>
    <xf numFmtId="177" fontId="3" fillId="0" borderId="10" xfId="0" applyNumberFormat="1" applyFont="1" applyFill="1" applyBorder="1" applyAlignment="1">
      <alignment horizontal="center" vertical="center"/>
    </xf>
    <xf numFmtId="177" fontId="3" fillId="0" borderId="11" xfId="0" applyNumberFormat="1" applyFont="1" applyFill="1" applyBorder="1" applyAlignment="1">
      <alignment horizontal="center" vertical="center"/>
    </xf>
    <xf numFmtId="177" fontId="3" fillId="0" borderId="12" xfId="0" applyNumberFormat="1" applyFont="1" applyFill="1" applyBorder="1" applyAlignment="1">
      <alignment horizontal="center" vertical="center"/>
    </xf>
    <xf numFmtId="177" fontId="5" fillId="0" borderId="1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left" vertical="center"/>
    </xf>
    <xf numFmtId="177" fontId="5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left" vertical="center"/>
    </xf>
    <xf numFmtId="177" fontId="3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left" vertical="center"/>
    </xf>
    <xf numFmtId="177" fontId="12" fillId="0" borderId="0" xfId="0" applyNumberFormat="1" applyFont="1" applyFill="1" applyBorder="1" applyAlignment="1">
      <alignment horizontal="center" vertical="center"/>
    </xf>
    <xf numFmtId="177" fontId="12" fillId="0" borderId="0" xfId="0" applyNumberFormat="1" applyFont="1" applyFill="1" applyBorder="1" applyAlignment="1">
      <alignment horizontal="left" vertical="center"/>
    </xf>
    <xf numFmtId="177" fontId="8" fillId="0" borderId="0" xfId="0" applyNumberFormat="1" applyFont="1" applyFill="1" applyBorder="1" applyAlignment="1">
      <alignment horizontal="center" vertical="center"/>
    </xf>
    <xf numFmtId="10" fontId="5" fillId="0" borderId="8" xfId="0" applyNumberFormat="1" applyFont="1" applyFill="1" applyBorder="1" applyAlignment="1" applyProtection="1">
      <alignment horizontal="right" vertical="center"/>
    </xf>
    <xf numFmtId="176" fontId="1" fillId="2" borderId="0" xfId="0" applyNumberFormat="1" applyFont="1" applyFill="1" applyBorder="1" applyAlignment="1">
      <alignment vertical="center"/>
    </xf>
    <xf numFmtId="179" fontId="7" fillId="2" borderId="13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vertical="center"/>
    </xf>
    <xf numFmtId="179" fontId="3" fillId="2" borderId="4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left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right" vertical="center"/>
    </xf>
    <xf numFmtId="10" fontId="3" fillId="0" borderId="1" xfId="0" applyNumberFormat="1" applyFont="1" applyFill="1" applyBorder="1" applyAlignment="1" applyProtection="1">
      <alignment horizontal="right" vertical="center"/>
    </xf>
    <xf numFmtId="176" fontId="1" fillId="0" borderId="0" xfId="0" applyNumberFormat="1" applyFont="1" applyFill="1" applyBorder="1" applyAlignment="1">
      <alignment horizontal="left" vertical="center"/>
    </xf>
    <xf numFmtId="0" fontId="13" fillId="0" borderId="0" xfId="0" applyFont="1"/>
    <xf numFmtId="0" fontId="0" fillId="4" borderId="0" xfId="0" applyFill="1"/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/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right" vertical="center"/>
    </xf>
    <xf numFmtId="0" fontId="0" fillId="4" borderId="1" xfId="0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176" fontId="16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6" fontId="16" fillId="5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13" fillId="0" borderId="1" xfId="0" applyNumberFormat="1" applyFont="1" applyBorder="1"/>
    <xf numFmtId="176" fontId="16" fillId="0" borderId="1" xfId="0" applyNumberFormat="1" applyFont="1" applyBorder="1" applyAlignment="1">
      <alignment horizontal="right" vertical="center"/>
    </xf>
    <xf numFmtId="176" fontId="0" fillId="4" borderId="1" xfId="0" applyNumberFormat="1" applyFill="1" applyBorder="1"/>
    <xf numFmtId="176" fontId="0" fillId="0" borderId="1" xfId="0" applyNumberFormat="1" applyBorder="1"/>
    <xf numFmtId="0" fontId="2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177" fontId="6" fillId="2" borderId="1" xfId="0" applyNumberFormat="1" applyFont="1" applyFill="1" applyBorder="1" applyAlignment="1">
      <alignment horizontal="right" vertical="center"/>
    </xf>
    <xf numFmtId="178" fontId="5" fillId="2" borderId="4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left" vertical="center"/>
    </xf>
    <xf numFmtId="182" fontId="3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176" fontId="5" fillId="2" borderId="1" xfId="0" applyNumberFormat="1" applyFont="1" applyFill="1" applyBorder="1" applyAlignment="1">
      <alignment horizontal="right" vertical="center"/>
    </xf>
    <xf numFmtId="177" fontId="6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181" fontId="5" fillId="0" borderId="1" xfId="0" applyNumberFormat="1" applyFont="1" applyFill="1" applyBorder="1" applyAlignment="1">
      <alignment horizontal="right" vertical="center"/>
    </xf>
    <xf numFmtId="181" fontId="3" fillId="0" borderId="1" xfId="0" applyNumberFormat="1" applyFont="1" applyFill="1" applyBorder="1" applyAlignment="1">
      <alignment horizontal="right" vertical="center"/>
    </xf>
    <xf numFmtId="181" fontId="3" fillId="2" borderId="1" xfId="0" applyNumberFormat="1" applyFont="1" applyFill="1" applyBorder="1" applyAlignment="1">
      <alignment horizontal="right" vertical="center"/>
    </xf>
    <xf numFmtId="181" fontId="6" fillId="2" borderId="1" xfId="0" applyNumberFormat="1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left" vertical="center"/>
    </xf>
    <xf numFmtId="181" fontId="5" fillId="2" borderId="1" xfId="0" applyNumberFormat="1" applyFont="1" applyFill="1" applyBorder="1" applyAlignment="1">
      <alignment horizontal="right" vertical="center"/>
    </xf>
    <xf numFmtId="183" fontId="3" fillId="2" borderId="1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 applyProtection="1">
      <alignment horizontal="right" vertical="center"/>
    </xf>
    <xf numFmtId="184" fontId="3" fillId="2" borderId="1" xfId="0" applyNumberFormat="1" applyFont="1" applyFill="1" applyBorder="1" applyAlignment="1">
      <alignment horizontal="right" vertical="center"/>
    </xf>
    <xf numFmtId="183" fontId="5" fillId="0" borderId="6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177" fontId="3" fillId="2" borderId="12" xfId="0" applyNumberFormat="1" applyFont="1" applyFill="1" applyBorder="1" applyAlignment="1">
      <alignment horizontal="center" vertical="center"/>
    </xf>
    <xf numFmtId="177" fontId="5" fillId="2" borderId="10" xfId="0" applyNumberFormat="1" applyFont="1" applyFill="1" applyBorder="1" applyAlignment="1">
      <alignment horizontal="center" vertical="center"/>
    </xf>
    <xf numFmtId="177" fontId="5" fillId="2" borderId="11" xfId="0" applyNumberFormat="1" applyFont="1" applyFill="1" applyBorder="1" applyAlignment="1">
      <alignment horizontal="center" vertical="center"/>
    </xf>
    <xf numFmtId="177" fontId="5" fillId="2" borderId="0" xfId="0" applyNumberFormat="1" applyFont="1" applyFill="1" applyBorder="1" applyAlignment="1">
      <alignment horizontal="center" vertical="center"/>
    </xf>
    <xf numFmtId="177" fontId="5" fillId="2" borderId="0" xfId="0" applyNumberFormat="1" applyFont="1" applyFill="1" applyBorder="1" applyAlignment="1">
      <alignment horizontal="left" vertical="center"/>
    </xf>
    <xf numFmtId="177" fontId="8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/>
    </xf>
    <xf numFmtId="176" fontId="5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176" fontId="2" fillId="2" borderId="0" xfId="0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/>
    </xf>
    <xf numFmtId="178" fontId="5" fillId="2" borderId="4" xfId="0" applyNumberFormat="1" applyFont="1" applyFill="1" applyBorder="1" applyAlignment="1">
      <alignment horizontal="center" vertical="center" wrapText="1"/>
    </xf>
    <xf numFmtId="178" fontId="3" fillId="2" borderId="4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left" vertical="center"/>
    </xf>
    <xf numFmtId="181" fontId="3" fillId="2" borderId="4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left" vertical="center" wrapText="1"/>
    </xf>
    <xf numFmtId="177" fontId="19" fillId="2" borderId="1" xfId="0" applyNumberFormat="1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176" fontId="5" fillId="2" borderId="6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183" fontId="2" fillId="2" borderId="1" xfId="0" applyNumberFormat="1" applyFont="1" applyFill="1" applyBorder="1" applyAlignment="1">
      <alignment vertical="center"/>
    </xf>
    <xf numFmtId="176" fontId="18" fillId="2" borderId="0" xfId="0" applyNumberFormat="1" applyFont="1" applyFill="1" applyAlignment="1">
      <alignment horizontal="center" vertical="center"/>
    </xf>
    <xf numFmtId="176" fontId="5" fillId="2" borderId="0" xfId="0" applyNumberFormat="1" applyFont="1" applyFill="1" applyBorder="1" applyAlignment="1">
      <alignment horizontal="left" vertical="center" wrapText="1"/>
    </xf>
    <xf numFmtId="176" fontId="5" fillId="2" borderId="3" xfId="0" applyNumberFormat="1" applyFon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83" fontId="2" fillId="2" borderId="1" xfId="0" applyNumberFormat="1" applyFont="1" applyFill="1" applyBorder="1" applyAlignment="1">
      <alignment horizontal="right" vertical="center"/>
    </xf>
    <xf numFmtId="10" fontId="2" fillId="2" borderId="0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83" fontId="5" fillId="2" borderId="1" xfId="0" applyNumberFormat="1" applyFont="1" applyFill="1" applyBorder="1" applyAlignment="1">
      <alignment horizontal="right" vertical="center"/>
    </xf>
    <xf numFmtId="10" fontId="5" fillId="2" borderId="8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10" fontId="3" fillId="2" borderId="1" xfId="0" applyNumberFormat="1" applyFont="1" applyFill="1" applyBorder="1" applyAlignment="1" applyProtection="1">
      <alignment horizontal="right" vertical="center"/>
    </xf>
    <xf numFmtId="180" fontId="3" fillId="2" borderId="1" xfId="0" applyNumberFormat="1" applyFont="1" applyFill="1" applyBorder="1" applyAlignment="1" applyProtection="1">
      <alignment horizontal="right" vertical="center"/>
    </xf>
    <xf numFmtId="182" fontId="3" fillId="2" borderId="1" xfId="0" applyNumberFormat="1" applyFont="1" applyFill="1" applyBorder="1" applyAlignment="1" applyProtection="1">
      <alignment horizontal="right" vertical="center"/>
    </xf>
    <xf numFmtId="10" fontId="5" fillId="2" borderId="1" xfId="0" applyNumberFormat="1" applyFont="1" applyFill="1" applyBorder="1" applyAlignment="1">
      <alignment horizontal="right" vertical="center"/>
    </xf>
    <xf numFmtId="10" fontId="5" fillId="2" borderId="8" xfId="0" applyNumberFormat="1" applyFont="1" applyFill="1" applyBorder="1" applyAlignment="1" applyProtection="1">
      <alignment horizontal="right" vertical="center"/>
    </xf>
    <xf numFmtId="183" fontId="5" fillId="2" borderId="6" xfId="0" applyNumberFormat="1" applyFont="1" applyFill="1" applyBorder="1" applyAlignment="1">
      <alignment horizontal="right" vertical="center"/>
    </xf>
    <xf numFmtId="10" fontId="5" fillId="2" borderId="9" xfId="0" applyNumberFormat="1" applyFont="1" applyFill="1" applyBorder="1" applyAlignment="1">
      <alignment horizontal="right" vertical="center"/>
    </xf>
    <xf numFmtId="176" fontId="2" fillId="2" borderId="0" xfId="0" applyNumberFormat="1" applyFont="1" applyFill="1" applyBorder="1" applyAlignment="1">
      <alignment vertical="center"/>
    </xf>
    <xf numFmtId="10" fontId="5" fillId="2" borderId="0" xfId="0" applyNumberFormat="1" applyFont="1" applyFill="1" applyBorder="1" applyAlignment="1">
      <alignment vertical="center"/>
    </xf>
    <xf numFmtId="10" fontId="3" fillId="2" borderId="0" xfId="0" applyNumberFormat="1" applyFont="1" applyFill="1" applyBorder="1" applyAlignment="1">
      <alignment vertical="center"/>
    </xf>
    <xf numFmtId="177" fontId="3" fillId="2" borderId="0" xfId="0" applyNumberFormat="1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176" fontId="3" fillId="2" borderId="0" xfId="0" applyNumberFormat="1" applyFont="1" applyFill="1" applyBorder="1" applyAlignment="1">
      <alignment vertical="center"/>
    </xf>
    <xf numFmtId="177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177" fontId="8" fillId="2" borderId="0" xfId="0" applyNumberFormat="1" applyFont="1" applyFill="1" applyBorder="1" applyAlignment="1">
      <alignment vertical="center"/>
    </xf>
    <xf numFmtId="10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176" fontId="21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183" fontId="21" fillId="0" borderId="1" xfId="0" applyNumberFormat="1" applyFont="1" applyFill="1" applyBorder="1" applyAlignment="1">
      <alignment horizontal="right" vertical="center"/>
    </xf>
    <xf numFmtId="178" fontId="21" fillId="0" borderId="1" xfId="0" applyNumberFormat="1" applyFont="1" applyFill="1" applyBorder="1" applyAlignment="1">
      <alignment horizontal="center" vertical="center" wrapText="1"/>
    </xf>
    <xf numFmtId="177" fontId="21" fillId="0" borderId="1" xfId="0" applyNumberFormat="1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178" fontId="23" fillId="0" borderId="1" xfId="0" applyNumberFormat="1" applyFont="1" applyFill="1" applyBorder="1" applyAlignment="1">
      <alignment horizontal="center" vertical="center"/>
    </xf>
    <xf numFmtId="177" fontId="24" fillId="0" borderId="1" xfId="0" applyNumberFormat="1" applyFont="1" applyFill="1" applyBorder="1" applyAlignment="1">
      <alignment horizontal="left" vertical="center" wrapText="1"/>
    </xf>
    <xf numFmtId="183" fontId="24" fillId="0" borderId="1" xfId="0" applyNumberFormat="1" applyFont="1" applyFill="1" applyBorder="1" applyAlignment="1">
      <alignment horizontal="right" vertical="center" wrapText="1"/>
    </xf>
    <xf numFmtId="177" fontId="24" fillId="0" borderId="1" xfId="0" applyNumberFormat="1" applyFont="1" applyFill="1" applyBorder="1" applyAlignment="1">
      <alignment horizontal="left" vertical="center"/>
    </xf>
    <xf numFmtId="183" fontId="24" fillId="0" borderId="1" xfId="0" applyNumberFormat="1" applyFont="1" applyFill="1" applyBorder="1" applyAlignment="1">
      <alignment horizontal="right" vertical="center"/>
    </xf>
    <xf numFmtId="177" fontId="23" fillId="0" borderId="1" xfId="0" applyNumberFormat="1" applyFont="1" applyFill="1" applyBorder="1" applyAlignment="1">
      <alignment horizontal="left" vertical="center"/>
    </xf>
    <xf numFmtId="183" fontId="23" fillId="0" borderId="1" xfId="0" applyNumberFormat="1" applyFont="1" applyFill="1" applyBorder="1" applyAlignment="1">
      <alignment horizontal="right" vertical="center"/>
    </xf>
    <xf numFmtId="178" fontId="21" fillId="0" borderId="1" xfId="0" applyNumberFormat="1" applyFont="1" applyFill="1" applyBorder="1" applyAlignment="1">
      <alignment horizontal="center" vertical="center"/>
    </xf>
    <xf numFmtId="177" fontId="25" fillId="0" borderId="1" xfId="0" applyNumberFormat="1" applyFont="1" applyFill="1" applyBorder="1" applyAlignment="1">
      <alignment horizontal="left" vertical="center"/>
    </xf>
    <xf numFmtId="183" fontId="25" fillId="0" borderId="1" xfId="0" applyNumberFormat="1" applyFont="1" applyFill="1" applyBorder="1" applyAlignment="1">
      <alignment horizontal="right" vertical="center"/>
    </xf>
    <xf numFmtId="181" fontId="23" fillId="0" borderId="1" xfId="0" applyNumberFormat="1" applyFont="1" applyFill="1" applyBorder="1" applyAlignment="1">
      <alignment horizontal="center" vertical="center"/>
    </xf>
    <xf numFmtId="177" fontId="23" fillId="0" borderId="1" xfId="0" applyNumberFormat="1" applyFont="1" applyFill="1" applyBorder="1" applyAlignment="1">
      <alignment horizontal="left" vertical="center" wrapText="1"/>
    </xf>
    <xf numFmtId="183" fontId="23" fillId="0" borderId="1" xfId="0" applyNumberFormat="1" applyFont="1" applyFill="1" applyBorder="1" applyAlignment="1">
      <alignment horizontal="right" vertical="center" wrapText="1"/>
    </xf>
    <xf numFmtId="177" fontId="26" fillId="0" borderId="1" xfId="0" applyNumberFormat="1" applyFont="1" applyFill="1" applyBorder="1" applyAlignment="1">
      <alignment horizontal="left" vertical="center"/>
    </xf>
    <xf numFmtId="183" fontId="26" fillId="0" borderId="1" xfId="0" applyNumberFormat="1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right" vertical="center"/>
    </xf>
    <xf numFmtId="176" fontId="21" fillId="0" borderId="1" xfId="0" applyNumberFormat="1" applyFont="1" applyFill="1" applyBorder="1" applyAlignment="1">
      <alignment horizontal="right" vertical="center"/>
    </xf>
    <xf numFmtId="176" fontId="23" fillId="0" borderId="1" xfId="0" applyNumberFormat="1" applyFont="1" applyFill="1" applyBorder="1" applyAlignment="1">
      <alignment horizontal="right" vertical="center"/>
    </xf>
    <xf numFmtId="176" fontId="23" fillId="0" borderId="1" xfId="0" applyNumberFormat="1" applyFont="1" applyFill="1" applyBorder="1" applyAlignment="1">
      <alignment horizontal="left" vertical="center"/>
    </xf>
    <xf numFmtId="176" fontId="23" fillId="0" borderId="1" xfId="0" applyNumberFormat="1" applyFont="1" applyFill="1" applyBorder="1" applyAlignment="1">
      <alignment horizontal="center" vertical="center"/>
    </xf>
    <xf numFmtId="177" fontId="27" fillId="0" borderId="1" xfId="0" applyNumberFormat="1" applyFont="1" applyFill="1" applyBorder="1" applyAlignment="1">
      <alignment horizontal="left" vertical="center"/>
    </xf>
    <xf numFmtId="177" fontId="27" fillId="0" borderId="1" xfId="0" applyNumberFormat="1" applyFont="1" applyFill="1" applyBorder="1" applyAlignment="1">
      <alignment horizontal="right" vertical="center"/>
    </xf>
    <xf numFmtId="177" fontId="24" fillId="0" borderId="1" xfId="0" applyNumberFormat="1" applyFont="1" applyFill="1" applyBorder="1" applyAlignment="1">
      <alignment horizontal="right" vertical="center"/>
    </xf>
    <xf numFmtId="176" fontId="21" fillId="0" borderId="1" xfId="0" applyNumberFormat="1" applyFont="1" applyFill="1" applyBorder="1" applyAlignment="1">
      <alignment vertical="center"/>
    </xf>
    <xf numFmtId="176" fontId="20" fillId="0" borderId="0" xfId="0" applyNumberFormat="1" applyFont="1" applyFill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right" vertical="center"/>
    </xf>
    <xf numFmtId="176" fontId="22" fillId="0" borderId="1" xfId="0" applyNumberFormat="1" applyFont="1" applyFill="1" applyBorder="1" applyAlignment="1">
      <alignment horizontal="center" vertical="center"/>
    </xf>
    <xf numFmtId="177" fontId="21" fillId="0" borderId="1" xfId="0" applyNumberFormat="1" applyFont="1" applyFill="1" applyBorder="1" applyAlignment="1">
      <alignment horizontal="right" vertical="center"/>
    </xf>
    <xf numFmtId="10" fontId="23" fillId="0" borderId="1" xfId="0" applyNumberFormat="1" applyFont="1" applyFill="1" applyBorder="1" applyAlignment="1">
      <alignment horizontal="right" vertical="center"/>
    </xf>
    <xf numFmtId="10" fontId="23" fillId="0" borderId="1" xfId="0" applyNumberFormat="1" applyFont="1" applyFill="1" applyBorder="1" applyAlignment="1" applyProtection="1">
      <alignment horizontal="right" vertical="center"/>
    </xf>
    <xf numFmtId="0" fontId="23" fillId="0" borderId="1" xfId="0" applyNumberFormat="1" applyFont="1" applyFill="1" applyBorder="1" applyAlignment="1" applyProtection="1">
      <alignment horizontal="right" vertical="center"/>
    </xf>
    <xf numFmtId="177" fontId="23" fillId="0" borderId="1" xfId="0" applyNumberFormat="1" applyFont="1" applyFill="1" applyBorder="1" applyAlignment="1">
      <alignment horizontal="right" vertical="center"/>
    </xf>
    <xf numFmtId="184" fontId="23" fillId="0" borderId="1" xfId="0" applyNumberFormat="1" applyFont="1" applyFill="1" applyBorder="1" applyAlignment="1">
      <alignment horizontal="right" vertical="center"/>
    </xf>
    <xf numFmtId="180" fontId="23" fillId="0" borderId="1" xfId="0" applyNumberFormat="1" applyFont="1" applyFill="1" applyBorder="1" applyAlignment="1" applyProtection="1">
      <alignment horizontal="right" vertical="center"/>
    </xf>
    <xf numFmtId="182" fontId="23" fillId="0" borderId="1" xfId="0" applyNumberFormat="1" applyFont="1" applyFill="1" applyBorder="1" applyAlignment="1" applyProtection="1">
      <alignment horizontal="right" vertical="center"/>
    </xf>
    <xf numFmtId="10" fontId="21" fillId="0" borderId="1" xfId="0" applyNumberFormat="1" applyFont="1" applyFill="1" applyBorder="1" applyAlignment="1">
      <alignment horizontal="right" vertical="center"/>
    </xf>
    <xf numFmtId="0" fontId="21" fillId="0" borderId="6" xfId="0" applyFont="1" applyFill="1" applyBorder="1" applyAlignment="1">
      <alignment horizontal="center" vertical="center"/>
    </xf>
    <xf numFmtId="183" fontId="21" fillId="0" borderId="6" xfId="0" applyNumberFormat="1" applyFont="1" applyFill="1" applyBorder="1" applyAlignment="1">
      <alignment horizontal="right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10" fontId="21" fillId="0" borderId="8" xfId="0" applyNumberFormat="1" applyFont="1" applyFill="1" applyBorder="1" applyAlignment="1">
      <alignment horizontal="right" vertical="center"/>
    </xf>
    <xf numFmtId="10" fontId="21" fillId="0" borderId="8" xfId="0" applyNumberFormat="1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21" fillId="0" borderId="8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77" fontId="23" fillId="0" borderId="8" xfId="0" applyNumberFormat="1" applyFont="1" applyFill="1" applyBorder="1" applyAlignment="1">
      <alignment horizontal="right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vertical="center"/>
    </xf>
    <xf numFmtId="10" fontId="21" fillId="0" borderId="8" xfId="0" applyNumberFormat="1" applyFont="1" applyFill="1" applyBorder="1" applyAlignment="1" applyProtection="1">
      <alignment horizontal="right" vertical="center"/>
    </xf>
    <xf numFmtId="10" fontId="21" fillId="0" borderId="9" xfId="0" applyNumberFormat="1" applyFont="1" applyFill="1" applyBorder="1" applyAlignment="1">
      <alignment horizontal="right" vertical="center"/>
    </xf>
    <xf numFmtId="10" fontId="5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vertical="center"/>
    </xf>
    <xf numFmtId="177" fontId="23" fillId="0" borderId="0" xfId="0" applyNumberFormat="1" applyFont="1" applyFill="1" applyAlignment="1">
      <alignment horizontal="center" wrapText="1"/>
    </xf>
    <xf numFmtId="177" fontId="21" fillId="0" borderId="0" xfId="0" applyNumberFormat="1" applyFont="1" applyFill="1" applyAlignment="1">
      <alignment horizontal="center" wrapText="1"/>
    </xf>
    <xf numFmtId="177" fontId="5" fillId="0" borderId="0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28" fillId="0" borderId="0" xfId="0" applyFont="1" applyFill="1" applyAlignment="1">
      <alignment horizontal="center" wrapText="1"/>
    </xf>
    <xf numFmtId="178" fontId="2" fillId="0" borderId="0" xfId="0" applyNumberFormat="1" applyFont="1" applyFill="1" applyBorder="1" applyAlignment="1">
      <alignment horizontal="left" wrapText="1"/>
    </xf>
    <xf numFmtId="178" fontId="5" fillId="0" borderId="2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8" fontId="3" fillId="0" borderId="4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7" fontId="23" fillId="0" borderId="1" xfId="0" applyNumberFormat="1" applyFont="1" applyFill="1" applyBorder="1" applyAlignment="1">
      <alignment horizontal="left" vertical="center" wrapText="1"/>
    </xf>
    <xf numFmtId="177" fontId="3" fillId="0" borderId="5" xfId="0" applyNumberFormat="1" applyFont="1" applyFill="1" applyBorder="1" applyAlignment="1">
      <alignment horizontal="center" vertical="center" wrapText="1"/>
    </xf>
    <xf numFmtId="177" fontId="3" fillId="0" borderId="6" xfId="0" applyNumberFormat="1" applyFont="1" applyFill="1" applyBorder="1" applyAlignment="1">
      <alignment horizontal="center" vertical="center" wrapText="1"/>
    </xf>
    <xf numFmtId="10" fontId="3" fillId="0" borderId="6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183" fontId="3" fillId="0" borderId="0" xfId="0" applyNumberFormat="1" applyFont="1" applyFill="1" applyBorder="1" applyAlignment="1">
      <alignment horizontal="center" wrapText="1"/>
    </xf>
    <xf numFmtId="183" fontId="3" fillId="0" borderId="0" xfId="0" applyNumberFormat="1" applyFont="1" applyFill="1" applyAlignment="1">
      <alignment horizont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177" fontId="3" fillId="0" borderId="15" xfId="0" applyNumberFormat="1" applyFont="1" applyFill="1" applyBorder="1" applyAlignment="1">
      <alignment horizontal="center" vertical="center" wrapText="1"/>
    </xf>
    <xf numFmtId="10" fontId="3" fillId="0" borderId="16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10" fontId="5" fillId="0" borderId="7" xfId="0" applyNumberFormat="1" applyFont="1" applyFill="1" applyBorder="1" applyAlignment="1">
      <alignment horizontal="center" vertical="center" wrapText="1"/>
    </xf>
    <xf numFmtId="10" fontId="5" fillId="0" borderId="8" xfId="0" applyNumberFormat="1" applyFont="1" applyFill="1" applyBorder="1" applyAlignment="1">
      <alignment horizontal="center" vertical="center" wrapText="1"/>
    </xf>
    <xf numFmtId="10" fontId="3" fillId="0" borderId="8" xfId="0" applyNumberFormat="1" applyFont="1" applyFill="1" applyBorder="1" applyAlignment="1">
      <alignment horizontal="center" vertical="center" wrapText="1"/>
    </xf>
    <xf numFmtId="177" fontId="3" fillId="0" borderId="9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uest/.deepinwine/Deepin-WeChat/dosdevices/c:/users/guest/Documents/WeChat%20Files/Heather007/FileStorage/File/2025-03/C:/Users/Administrator/Documents/WeChat%20Files/wxid_d41csjmqefx821/FileStorage/File/2024-06/&#23425;&#22799;&#24072;&#33539;&#39118;&#23398;&#38498;&#25945;&#24072;&#25945;&#32946;&#21327;&#21516;&#21019;&#26032;&#19982;&#30740;&#31350;&#20013;&#24515;&#24314;&#35774;&#39033;&#30446;&#25237;&#36164;&#20272;&#31639;(2)(1)(5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教师教育协同创新与研究中心"/>
      <sheetName val="宁夏师范学院风雨操场项目 (3)"/>
      <sheetName val="成本测算"/>
      <sheetName val="标准运动场项目 (3)"/>
      <sheetName val="宁夏师范学院风雨操场项目 (2)"/>
      <sheetName val="标准运动场项目 (2)"/>
    </sheetNames>
    <sheetDataSet>
      <sheetData sheetId="0">
        <row r="8">
          <cell r="G8">
            <v>13299.5252546127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zoomScale="85" zoomScaleNormal="85" workbookViewId="0">
      <selection activeCell="G8" sqref="G8"/>
    </sheetView>
  </sheetViews>
  <sheetFormatPr defaultColWidth="23.5428571428571" defaultRowHeight="34" customHeight="1"/>
  <cols>
    <col min="1" max="1" width="10.2666666666667" style="344" customWidth="1"/>
    <col min="2" max="2" width="23.1904761904762" style="344" customWidth="1"/>
    <col min="3" max="7" width="18.7238095238095" style="344" customWidth="1"/>
    <col min="8" max="8" width="13.1428571428571" style="344" customWidth="1"/>
    <col min="9" max="9" width="15.7142857142857" style="344" customWidth="1"/>
    <col min="10" max="10" width="15" style="344" customWidth="1"/>
    <col min="11" max="11" width="18.7238095238095" style="344" customWidth="1"/>
    <col min="12" max="16384" width="23.5428571428571" style="344"/>
  </cols>
  <sheetData>
    <row r="1" customHeight="1" spans="1:11">
      <c r="A1" s="345" t="s">
        <v>0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</row>
    <row r="2" s="340" customFormat="1" ht="35" customHeight="1" spans="1:11">
      <c r="A2" s="346" t="e">
        <f>服务基础教育信息技术应用大楼!#REF!</f>
        <v>#REF!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</row>
    <row r="3" s="341" customFormat="1" ht="65" customHeight="1" spans="1:11">
      <c r="A3" s="347" t="s">
        <v>1</v>
      </c>
      <c r="B3" s="348" t="s">
        <v>2</v>
      </c>
      <c r="C3" s="349" t="s">
        <v>3</v>
      </c>
      <c r="D3" s="349"/>
      <c r="E3" s="349"/>
      <c r="F3" s="349"/>
      <c r="G3" s="349"/>
      <c r="H3" s="364" t="s">
        <v>4</v>
      </c>
      <c r="I3" s="368"/>
      <c r="J3" s="368"/>
      <c r="K3" s="369" t="s">
        <v>5</v>
      </c>
    </row>
    <row r="4" s="342" customFormat="1" ht="65" customHeight="1" spans="1:11">
      <c r="A4" s="82"/>
      <c r="B4" s="350"/>
      <c r="C4" s="351" t="s">
        <v>6</v>
      </c>
      <c r="D4" s="351" t="s">
        <v>7</v>
      </c>
      <c r="E4" s="351" t="s">
        <v>8</v>
      </c>
      <c r="F4" s="351" t="s">
        <v>9</v>
      </c>
      <c r="G4" s="351" t="s">
        <v>10</v>
      </c>
      <c r="H4" s="365" t="s">
        <v>11</v>
      </c>
      <c r="I4" s="365" t="s">
        <v>12</v>
      </c>
      <c r="J4" s="365" t="s">
        <v>13</v>
      </c>
      <c r="K4" s="370"/>
    </row>
    <row r="5" s="343" customFormat="1" ht="65" customHeight="1" spans="1:11">
      <c r="A5" s="352" t="s">
        <v>14</v>
      </c>
      <c r="B5" s="353" t="s">
        <v>15</v>
      </c>
      <c r="C5" s="354">
        <f>服务基础教育信息技术应用大楼!E4</f>
        <v>4434.546465</v>
      </c>
      <c r="D5" s="354">
        <f>服务基础教育信息技术应用大楼!F4</f>
        <v>120</v>
      </c>
      <c r="E5" s="354">
        <f>服务基础教育信息技术应用大楼!G4</f>
        <v>1180.594729</v>
      </c>
      <c r="F5" s="354"/>
      <c r="G5" s="354">
        <f>SUM(C5:F5)</f>
        <v>5735.141194</v>
      </c>
      <c r="H5" s="366" t="s">
        <v>16</v>
      </c>
      <c r="I5" s="366">
        <f>服务基础教育信息技术应用大楼!K5</f>
        <v>10300</v>
      </c>
      <c r="J5" s="366">
        <f>G5/I5*10000</f>
        <v>5568.09824660194</v>
      </c>
      <c r="K5" s="371">
        <f>G5/G8</f>
        <v>0.888018443371838</v>
      </c>
    </row>
    <row r="6" s="343" customFormat="1" ht="65" customHeight="1" spans="1:11">
      <c r="A6" s="15" t="s">
        <v>17</v>
      </c>
      <c r="B6" s="353" t="s">
        <v>18</v>
      </c>
      <c r="C6" s="354"/>
      <c r="D6" s="354"/>
      <c r="E6" s="354"/>
      <c r="F6" s="354">
        <f>服务基础教育信息技术应用大楼!I24</f>
        <v>535.10948396979</v>
      </c>
      <c r="G6" s="354">
        <f>F6</f>
        <v>535.10948396979</v>
      </c>
      <c r="H6" s="366" t="s">
        <v>16</v>
      </c>
      <c r="I6" s="366">
        <f>I5</f>
        <v>10300</v>
      </c>
      <c r="J6" s="366">
        <f>G6/I6*10000</f>
        <v>519.523770844456</v>
      </c>
      <c r="K6" s="371">
        <f>G6/G8</f>
        <v>0.0828553430359295</v>
      </c>
    </row>
    <row r="7" s="343" customFormat="1" ht="65" customHeight="1" spans="1:11">
      <c r="A7" s="355" t="s">
        <v>19</v>
      </c>
      <c r="B7" s="356" t="s">
        <v>20</v>
      </c>
      <c r="C7" s="354"/>
      <c r="D7" s="354"/>
      <c r="E7" s="354"/>
      <c r="F7" s="354">
        <f>服务基础教育信息技术应用大楼!I49</f>
        <v>188.107520339094</v>
      </c>
      <c r="G7" s="354">
        <f>F7</f>
        <v>188.107520339094</v>
      </c>
      <c r="H7" s="366" t="s">
        <v>16</v>
      </c>
      <c r="I7" s="366">
        <f>I5</f>
        <v>10300</v>
      </c>
      <c r="J7" s="366">
        <f>G7/I7*10000</f>
        <v>182.628660523392</v>
      </c>
      <c r="K7" s="371">
        <f>G7/G8</f>
        <v>0.029126213592233</v>
      </c>
    </row>
    <row r="8" s="340" customFormat="1" ht="65" customHeight="1" spans="1:11">
      <c r="A8" s="355" t="s">
        <v>21</v>
      </c>
      <c r="B8" s="353" t="s">
        <v>22</v>
      </c>
      <c r="C8" s="354">
        <f>C5+C6+C7</f>
        <v>4434.546465</v>
      </c>
      <c r="D8" s="354">
        <f>D5+D6+D7</f>
        <v>120</v>
      </c>
      <c r="E8" s="354">
        <f>E5+E6+E7</f>
        <v>1180.594729</v>
      </c>
      <c r="F8" s="354">
        <f>F5+F6+F7</f>
        <v>723.217004308884</v>
      </c>
      <c r="G8" s="354">
        <f>G5+G6+G7</f>
        <v>6458.35819830888</v>
      </c>
      <c r="H8" s="366" t="s">
        <v>16</v>
      </c>
      <c r="I8" s="366">
        <f>I5</f>
        <v>10300</v>
      </c>
      <c r="J8" s="366">
        <f>G8/I8*10000</f>
        <v>6270.25067796979</v>
      </c>
      <c r="K8" s="371">
        <f>G8/G8</f>
        <v>1</v>
      </c>
    </row>
    <row r="9" s="340" customFormat="1" ht="65" customHeight="1" spans="1:11">
      <c r="A9" s="357" t="s">
        <v>23</v>
      </c>
      <c r="B9" s="358"/>
      <c r="C9" s="359">
        <f>C8/G8</f>
        <v>0.686636809051747</v>
      </c>
      <c r="D9" s="359">
        <f>D8/G8</f>
        <v>0.0185805736249535</v>
      </c>
      <c r="E9" s="359">
        <f>E8/G8</f>
        <v>0.182801060695137</v>
      </c>
      <c r="F9" s="359">
        <f>F8/G8</f>
        <v>0.111981556628162</v>
      </c>
      <c r="G9" s="359">
        <f>SUM(C9:F9)</f>
        <v>1</v>
      </c>
      <c r="H9" s="367"/>
      <c r="I9" s="367"/>
      <c r="J9" s="367"/>
      <c r="K9" s="372"/>
    </row>
    <row r="10" s="341" customFormat="1" customHeight="1" spans="1:11">
      <c r="A10" s="360"/>
      <c r="B10" s="342"/>
      <c r="C10" s="342"/>
      <c r="D10" s="342"/>
      <c r="E10" s="361"/>
      <c r="F10" s="342"/>
      <c r="G10" s="342"/>
      <c r="H10" s="342"/>
      <c r="I10" s="342"/>
      <c r="J10" s="342"/>
      <c r="K10" s="342"/>
    </row>
    <row r="11" customHeight="1" spans="1:11">
      <c r="A11" s="361"/>
      <c r="B11" s="361"/>
      <c r="C11" s="361"/>
      <c r="D11" s="361"/>
      <c r="F11" s="361"/>
      <c r="G11" s="362">
        <f>G8*0.8</f>
        <v>5166.68655864711</v>
      </c>
      <c r="H11" s="361">
        <f>G8-[1]汇总表!$G$8</f>
        <v>-6841.16705630382</v>
      </c>
      <c r="I11" s="361"/>
      <c r="J11" s="361"/>
      <c r="K11" s="361"/>
    </row>
    <row r="12" customHeight="1" spans="1:11">
      <c r="A12" s="361"/>
      <c r="B12" s="361" t="s">
        <v>15</v>
      </c>
      <c r="C12" s="362">
        <f>G5</f>
        <v>5735.141194</v>
      </c>
      <c r="D12" s="361"/>
      <c r="E12" s="361"/>
      <c r="F12" s="361"/>
      <c r="G12" s="362">
        <f>G8-G11</f>
        <v>1291.67163966178</v>
      </c>
      <c r="H12" s="361"/>
      <c r="I12" s="361"/>
      <c r="J12" s="361"/>
      <c r="K12" s="361"/>
    </row>
    <row r="13" customHeight="1" spans="2:3">
      <c r="B13" s="344" t="s">
        <v>24</v>
      </c>
      <c r="C13" s="363">
        <f>G6</f>
        <v>535.10948396979</v>
      </c>
    </row>
    <row r="14" customHeight="1" spans="2:3">
      <c r="B14" s="344" t="s">
        <v>25</v>
      </c>
      <c r="C14" s="363">
        <f>G7</f>
        <v>188.107520339094</v>
      </c>
    </row>
    <row r="15" customHeight="1" spans="2:3">
      <c r="B15" s="344" t="s">
        <v>26</v>
      </c>
      <c r="C15" s="363">
        <f>C12+C13+C14</f>
        <v>6458.35819830888</v>
      </c>
    </row>
  </sheetData>
  <mergeCells count="8">
    <mergeCell ref="A1:K1"/>
    <mergeCell ref="A2:K2"/>
    <mergeCell ref="C3:G3"/>
    <mergeCell ref="H3:J3"/>
    <mergeCell ref="A9:B9"/>
    <mergeCell ref="A3:A4"/>
    <mergeCell ref="B3:B4"/>
    <mergeCell ref="K3:K4"/>
  </mergeCells>
  <pageMargins left="0.75" right="0.75" top="1" bottom="1" header="0.5" footer="0.5"/>
  <pageSetup paperSize="9" scale="6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53"/>
  <sheetViews>
    <sheetView tabSelected="1" zoomScale="70" zoomScaleNormal="70" workbookViewId="0">
      <selection activeCell="I50" sqref="I50"/>
    </sheetView>
  </sheetViews>
  <sheetFormatPr defaultColWidth="10.2666666666667" defaultRowHeight="28" customHeight="1"/>
  <cols>
    <col min="1" max="1" width="11.8285714285714" style="261" customWidth="1"/>
    <col min="2" max="2" width="40" style="262" customWidth="1"/>
    <col min="3" max="3" width="11.8380952380952" style="262" customWidth="1"/>
    <col min="4" max="4" width="16.3142857142857" style="262" customWidth="1"/>
    <col min="5" max="5" width="15.5142857142857" style="263" customWidth="1"/>
    <col min="6" max="6" width="15.5142857142857" style="262" customWidth="1"/>
    <col min="7" max="7" width="15.5142857142857" style="261" customWidth="1"/>
    <col min="8" max="8" width="15.5142857142857" style="262" customWidth="1"/>
    <col min="9" max="9" width="15.5142857142857" style="264" customWidth="1"/>
    <col min="10" max="10" width="15.8571428571429" style="261" hidden="1" customWidth="1"/>
    <col min="11" max="11" width="20.1809523809524" style="263" hidden="1" customWidth="1"/>
    <col min="12" max="12" width="20.2666666666667" style="263" hidden="1" customWidth="1"/>
    <col min="13" max="13" width="24.4" style="262" hidden="1" customWidth="1"/>
    <col min="14" max="14" width="14.5714285714286" style="262"/>
    <col min="15" max="16" width="20.1428571428571" style="262"/>
    <col min="17" max="17" width="42" style="262" customWidth="1"/>
    <col min="18" max="18" width="27.7238095238095" style="262" customWidth="1"/>
    <col min="19" max="19" width="10.4571428571429" style="262"/>
    <col min="20" max="20" width="24.6285714285714" style="262" customWidth="1"/>
    <col min="21" max="21" width="15.5428571428571" style="262" customWidth="1"/>
    <col min="22" max="16384" width="10.2666666666667" style="262"/>
  </cols>
  <sheetData>
    <row r="1" ht="42" customHeight="1" spans="1:13">
      <c r="A1" s="265" t="s">
        <v>27</v>
      </c>
      <c r="B1" s="266"/>
      <c r="C1" s="266"/>
      <c r="D1" s="266"/>
      <c r="E1" s="293"/>
      <c r="F1" s="266"/>
      <c r="G1" s="266"/>
      <c r="H1" s="266"/>
      <c r="I1" s="302"/>
      <c r="J1" s="266"/>
      <c r="K1" s="293"/>
      <c r="L1" s="293"/>
      <c r="M1" s="266"/>
    </row>
    <row r="2" s="255" customFormat="1" ht="35" customHeight="1" spans="1:13">
      <c r="A2" s="267" t="s">
        <v>28</v>
      </c>
      <c r="B2" s="267" t="s">
        <v>29</v>
      </c>
      <c r="C2" s="267" t="s">
        <v>30</v>
      </c>
      <c r="D2" s="267"/>
      <c r="E2" s="270" t="s">
        <v>31</v>
      </c>
      <c r="F2" s="270"/>
      <c r="G2" s="270"/>
      <c r="H2" s="270"/>
      <c r="I2" s="269"/>
      <c r="J2" s="303" t="s">
        <v>32</v>
      </c>
      <c r="K2" s="304"/>
      <c r="L2" s="304"/>
      <c r="M2" s="318" t="s">
        <v>33</v>
      </c>
    </row>
    <row r="3" s="255" customFormat="1" ht="35" customHeight="1" spans="1:13">
      <c r="A3" s="267"/>
      <c r="B3" s="267"/>
      <c r="C3" s="268" t="s">
        <v>34</v>
      </c>
      <c r="D3" s="268" t="s">
        <v>35</v>
      </c>
      <c r="E3" s="268" t="s">
        <v>36</v>
      </c>
      <c r="F3" s="268" t="s">
        <v>37</v>
      </c>
      <c r="G3" s="268" t="s">
        <v>38</v>
      </c>
      <c r="H3" s="268" t="s">
        <v>39</v>
      </c>
      <c r="I3" s="305" t="s">
        <v>40</v>
      </c>
      <c r="J3" s="270" t="s">
        <v>41</v>
      </c>
      <c r="K3" s="270" t="s">
        <v>42</v>
      </c>
      <c r="L3" s="267" t="s">
        <v>43</v>
      </c>
      <c r="M3" s="319"/>
    </row>
    <row r="4" s="256" customFormat="1" ht="35" customHeight="1" spans="1:13">
      <c r="A4" s="269" t="s">
        <v>44</v>
      </c>
      <c r="B4" s="269" t="s">
        <v>45</v>
      </c>
      <c r="C4" s="270" t="s">
        <v>46</v>
      </c>
      <c r="D4" s="271">
        <v>10300</v>
      </c>
      <c r="E4" s="294">
        <f>E5+E12+E21</f>
        <v>4434.546465</v>
      </c>
      <c r="F4" s="294">
        <f>F5+F12+F21</f>
        <v>120</v>
      </c>
      <c r="G4" s="294">
        <f>G5+G12+G21</f>
        <v>1180.594729</v>
      </c>
      <c r="H4" s="294"/>
      <c r="I4" s="294">
        <f>I5+I12+I21</f>
        <v>5735.141194</v>
      </c>
      <c r="J4" s="270" t="s">
        <v>46</v>
      </c>
      <c r="K4" s="294">
        <f>K5</f>
        <v>10300</v>
      </c>
      <c r="L4" s="294">
        <f t="shared" ref="L4:L10" si="0">I4/K4*10000</f>
        <v>5568.09824660194</v>
      </c>
      <c r="M4" s="320">
        <f>I4/I50</f>
        <v>0.888018443371838</v>
      </c>
    </row>
    <row r="5" s="255" customFormat="1" ht="35" customHeight="1" spans="1:18">
      <c r="A5" s="272" t="s">
        <v>47</v>
      </c>
      <c r="B5" s="273" t="s">
        <v>48</v>
      </c>
      <c r="C5" s="274" t="s">
        <v>49</v>
      </c>
      <c r="D5" s="271">
        <v>10300</v>
      </c>
      <c r="E5" s="294">
        <f>SUM(E6:E11)</f>
        <v>3931.833773</v>
      </c>
      <c r="F5" s="294">
        <f>SUM(F6:F11)</f>
        <v>120</v>
      </c>
      <c r="G5" s="294">
        <f>SUM(G6:G11)</f>
        <v>988.895954</v>
      </c>
      <c r="H5" s="294"/>
      <c r="I5" s="294">
        <f>SUM(I6:I11)</f>
        <v>5040.729727</v>
      </c>
      <c r="J5" s="274" t="s">
        <v>49</v>
      </c>
      <c r="K5" s="294">
        <f>K6</f>
        <v>10300</v>
      </c>
      <c r="L5" s="271">
        <f t="shared" si="0"/>
        <v>4893.91235631068</v>
      </c>
      <c r="M5" s="321"/>
      <c r="R5" s="336"/>
    </row>
    <row r="6" s="257" customFormat="1" ht="35" customHeight="1" spans="1:21">
      <c r="A6" s="275">
        <v>1</v>
      </c>
      <c r="B6" s="276" t="s">
        <v>50</v>
      </c>
      <c r="C6" s="274" t="s">
        <v>49</v>
      </c>
      <c r="D6" s="277">
        <v>10300</v>
      </c>
      <c r="E6" s="295">
        <f>39318337.73/10000</f>
        <v>3931.833773</v>
      </c>
      <c r="F6" s="295"/>
      <c r="G6" s="295"/>
      <c r="H6" s="296"/>
      <c r="I6" s="295">
        <f>SUM(E6:H6)</f>
        <v>3931.833773</v>
      </c>
      <c r="J6" s="274" t="s">
        <v>49</v>
      </c>
      <c r="K6" s="295">
        <v>10300</v>
      </c>
      <c r="L6" s="281">
        <f t="shared" si="0"/>
        <v>3817.31434271845</v>
      </c>
      <c r="M6" s="322"/>
      <c r="N6" s="323"/>
      <c r="O6" s="323"/>
      <c r="P6" s="323"/>
      <c r="Q6" s="323"/>
      <c r="R6" s="333"/>
      <c r="S6" s="323"/>
      <c r="T6" s="323"/>
      <c r="U6" s="323"/>
    </row>
    <row r="7" s="257" customFormat="1" ht="35" customHeight="1" spans="1:21">
      <c r="A7" s="275">
        <v>2</v>
      </c>
      <c r="B7" s="278" t="s">
        <v>51</v>
      </c>
      <c r="C7" s="274" t="s">
        <v>49</v>
      </c>
      <c r="D7" s="279">
        <v>10300</v>
      </c>
      <c r="E7" s="295"/>
      <c r="F7" s="295"/>
      <c r="G7" s="295">
        <f>2689386.46/10000</f>
        <v>268.938646</v>
      </c>
      <c r="H7" s="296"/>
      <c r="I7" s="295">
        <f t="shared" ref="I7:I12" si="1">SUM(E7:H7)</f>
        <v>268.938646</v>
      </c>
      <c r="J7" s="274" t="s">
        <v>49</v>
      </c>
      <c r="K7" s="295">
        <f>K5</f>
        <v>10300</v>
      </c>
      <c r="L7" s="281">
        <f t="shared" si="0"/>
        <v>261.105481553398</v>
      </c>
      <c r="M7" s="322"/>
      <c r="N7" s="323"/>
      <c r="O7" s="323"/>
      <c r="P7" s="323"/>
      <c r="Q7" s="337"/>
      <c r="R7" s="337"/>
      <c r="S7" s="337"/>
      <c r="T7" s="337"/>
      <c r="U7" s="323"/>
    </row>
    <row r="8" s="257" customFormat="1" ht="35" customHeight="1" spans="1:21">
      <c r="A8" s="275">
        <v>3</v>
      </c>
      <c r="B8" s="278" t="s">
        <v>52</v>
      </c>
      <c r="C8" s="274" t="s">
        <v>53</v>
      </c>
      <c r="D8" s="279">
        <v>1</v>
      </c>
      <c r="E8" s="295"/>
      <c r="F8" s="295"/>
      <c r="G8" s="295">
        <f>46311.38/10000</f>
        <v>4.631138</v>
      </c>
      <c r="H8" s="296"/>
      <c r="I8" s="295">
        <f t="shared" si="1"/>
        <v>4.631138</v>
      </c>
      <c r="J8" s="274" t="s">
        <v>53</v>
      </c>
      <c r="K8" s="295">
        <v>1</v>
      </c>
      <c r="L8" s="281">
        <f t="shared" si="0"/>
        <v>46311.38</v>
      </c>
      <c r="M8" s="322"/>
      <c r="N8" s="323"/>
      <c r="O8" s="323"/>
      <c r="P8" s="324"/>
      <c r="Q8" s="337"/>
      <c r="R8" s="337"/>
      <c r="S8" s="337"/>
      <c r="T8" s="337"/>
      <c r="U8" s="323"/>
    </row>
    <row r="9" s="257" customFormat="1" ht="35" customHeight="1" spans="1:21">
      <c r="A9" s="275">
        <v>4</v>
      </c>
      <c r="B9" s="280" t="s">
        <v>54</v>
      </c>
      <c r="C9" s="274" t="s">
        <v>49</v>
      </c>
      <c r="D9" s="281">
        <v>10300</v>
      </c>
      <c r="E9" s="297"/>
      <c r="F9" s="295"/>
      <c r="G9" s="295">
        <f>(1004984.64+612060.39)/10000</f>
        <v>161.704503</v>
      </c>
      <c r="H9" s="296"/>
      <c r="I9" s="295">
        <f t="shared" si="1"/>
        <v>161.704503</v>
      </c>
      <c r="J9" s="274" t="s">
        <v>49</v>
      </c>
      <c r="K9" s="295">
        <f>K5</f>
        <v>10300</v>
      </c>
      <c r="L9" s="281">
        <f t="shared" si="0"/>
        <v>156.994663106796</v>
      </c>
      <c r="M9" s="322"/>
      <c r="N9" s="323"/>
      <c r="O9" s="323"/>
      <c r="P9" s="323"/>
      <c r="Q9" s="337"/>
      <c r="R9" s="337"/>
      <c r="S9" s="337"/>
      <c r="T9" s="337"/>
      <c r="U9" s="323"/>
    </row>
    <row r="10" s="258" customFormat="1" ht="35" customHeight="1" spans="1:21">
      <c r="A10" s="275">
        <v>5</v>
      </c>
      <c r="B10" s="280" t="s">
        <v>55</v>
      </c>
      <c r="C10" s="274" t="s">
        <v>49</v>
      </c>
      <c r="D10" s="281">
        <v>10300</v>
      </c>
      <c r="E10" s="297"/>
      <c r="F10" s="295"/>
      <c r="G10" s="295">
        <f>(2028752.42+3507464.25)/10000</f>
        <v>553.621667</v>
      </c>
      <c r="H10" s="296"/>
      <c r="I10" s="295">
        <f t="shared" si="1"/>
        <v>553.621667</v>
      </c>
      <c r="J10" s="274" t="s">
        <v>49</v>
      </c>
      <c r="K10" s="295">
        <f>K5</f>
        <v>10300</v>
      </c>
      <c r="L10" s="281">
        <f t="shared" si="0"/>
        <v>537.49676407767</v>
      </c>
      <c r="M10" s="322"/>
      <c r="N10" s="325"/>
      <c r="O10" s="323"/>
      <c r="P10" s="323"/>
      <c r="Q10" s="337"/>
      <c r="R10" s="337"/>
      <c r="S10" s="337"/>
      <c r="T10" s="337"/>
      <c r="U10" s="323"/>
    </row>
    <row r="11" s="258" customFormat="1" ht="35" customHeight="1" spans="1:21">
      <c r="A11" s="275">
        <v>6</v>
      </c>
      <c r="B11" s="280" t="s">
        <v>56</v>
      </c>
      <c r="C11" s="274" t="s">
        <v>57</v>
      </c>
      <c r="D11" s="281">
        <v>3</v>
      </c>
      <c r="E11" s="297"/>
      <c r="F11" s="295">
        <f>K11*L11/10000</f>
        <v>120</v>
      </c>
      <c r="G11" s="295"/>
      <c r="H11" s="296"/>
      <c r="I11" s="295">
        <f t="shared" si="1"/>
        <v>120</v>
      </c>
      <c r="J11" s="274" t="s">
        <v>57</v>
      </c>
      <c r="K11" s="295">
        <v>3</v>
      </c>
      <c r="L11" s="281">
        <v>400000</v>
      </c>
      <c r="M11" s="322"/>
      <c r="N11" s="325"/>
      <c r="O11" s="326"/>
      <c r="P11" s="323"/>
      <c r="Q11" s="337"/>
      <c r="R11" s="337"/>
      <c r="S11" s="337"/>
      <c r="T11" s="337"/>
      <c r="U11" s="323"/>
    </row>
    <row r="12" s="259" customFormat="1" ht="35" customHeight="1" spans="1:21">
      <c r="A12" s="282" t="s">
        <v>58</v>
      </c>
      <c r="B12" s="283" t="s">
        <v>59</v>
      </c>
      <c r="C12" s="270" t="s">
        <v>60</v>
      </c>
      <c r="D12" s="284"/>
      <c r="E12" s="294">
        <f>SUM(E13:E20)</f>
        <v>412.352692</v>
      </c>
      <c r="F12" s="294"/>
      <c r="G12" s="294">
        <f>SUM(G13:G20)</f>
        <v>191.698775</v>
      </c>
      <c r="H12" s="294"/>
      <c r="I12" s="294">
        <f>SUM(I13:I20)</f>
        <v>604.051467</v>
      </c>
      <c r="J12" s="270" t="s">
        <v>60</v>
      </c>
      <c r="K12" s="294"/>
      <c r="L12" s="271"/>
      <c r="M12" s="327"/>
      <c r="N12" s="255"/>
      <c r="O12" s="255"/>
      <c r="P12" s="255"/>
      <c r="Q12" s="255"/>
      <c r="R12" s="255"/>
      <c r="S12" s="255"/>
      <c r="T12" s="255"/>
      <c r="U12" s="255"/>
    </row>
    <row r="13" s="258" customFormat="1" ht="35" customHeight="1" spans="1:21">
      <c r="A13" s="285">
        <v>1</v>
      </c>
      <c r="B13" s="286" t="s">
        <v>61</v>
      </c>
      <c r="C13" s="274" t="s">
        <v>49</v>
      </c>
      <c r="D13" s="287">
        <v>8400</v>
      </c>
      <c r="E13" s="295">
        <f>1733969.62/10000</f>
        <v>173.396962</v>
      </c>
      <c r="F13" s="295"/>
      <c r="G13" s="295"/>
      <c r="H13" s="296"/>
      <c r="I13" s="295">
        <f t="shared" ref="I13:I20" si="2">SUM(E13:H13)</f>
        <v>173.396962</v>
      </c>
      <c r="J13" s="274" t="s">
        <v>49</v>
      </c>
      <c r="K13" s="295">
        <v>8400</v>
      </c>
      <c r="L13" s="281">
        <f t="shared" ref="L13:L20" si="3">I13/K13*10000</f>
        <v>206.424954761905</v>
      </c>
      <c r="M13" s="322"/>
      <c r="N13" s="325"/>
      <c r="O13" s="323"/>
      <c r="P13" s="323"/>
      <c r="Q13" s="337"/>
      <c r="R13" s="337"/>
      <c r="S13" s="337"/>
      <c r="T13" s="337"/>
      <c r="U13" s="323"/>
    </row>
    <row r="14" s="259" customFormat="1" ht="35" customHeight="1" spans="1:21">
      <c r="A14" s="285">
        <v>2</v>
      </c>
      <c r="B14" s="288" t="s">
        <v>62</v>
      </c>
      <c r="C14" s="274" t="s">
        <v>63</v>
      </c>
      <c r="D14" s="289">
        <v>15000</v>
      </c>
      <c r="E14" s="295">
        <f>728495.17/10000</f>
        <v>72.849517</v>
      </c>
      <c r="F14" s="294"/>
      <c r="G14" s="294"/>
      <c r="H14" s="294"/>
      <c r="I14" s="295">
        <f t="shared" si="2"/>
        <v>72.849517</v>
      </c>
      <c r="J14" s="274" t="s">
        <v>63</v>
      </c>
      <c r="K14" s="295">
        <v>15000</v>
      </c>
      <c r="L14" s="281">
        <f t="shared" si="3"/>
        <v>48.5663446666667</v>
      </c>
      <c r="M14" s="327"/>
      <c r="N14" s="255"/>
      <c r="O14" s="255"/>
      <c r="P14" s="255"/>
      <c r="Q14" s="255"/>
      <c r="R14" s="255"/>
      <c r="S14" s="255"/>
      <c r="T14" s="255"/>
      <c r="U14" s="255"/>
    </row>
    <row r="15" s="260" customFormat="1" ht="35" customHeight="1" spans="1:21">
      <c r="A15" s="285">
        <v>3</v>
      </c>
      <c r="B15" s="288" t="s">
        <v>64</v>
      </c>
      <c r="C15" s="274" t="s">
        <v>65</v>
      </c>
      <c r="D15" s="289">
        <v>316.57</v>
      </c>
      <c r="E15" s="295">
        <f>15024.51/10000</f>
        <v>1.502451</v>
      </c>
      <c r="F15" s="294"/>
      <c r="G15" s="294"/>
      <c r="H15" s="294"/>
      <c r="I15" s="295">
        <f t="shared" si="2"/>
        <v>1.502451</v>
      </c>
      <c r="J15" s="274" t="s">
        <v>65</v>
      </c>
      <c r="K15" s="295">
        <v>316.57</v>
      </c>
      <c r="L15" s="281">
        <f t="shared" si="3"/>
        <v>47.4603089364122</v>
      </c>
      <c r="M15" s="327"/>
      <c r="N15" s="328"/>
      <c r="O15" s="255"/>
      <c r="P15" s="255"/>
      <c r="Q15" s="255"/>
      <c r="R15" s="255"/>
      <c r="S15" s="255"/>
      <c r="T15" s="255"/>
      <c r="U15" s="255"/>
    </row>
    <row r="16" s="260" customFormat="1" ht="35" customHeight="1" spans="1:21">
      <c r="A16" s="285">
        <v>4</v>
      </c>
      <c r="B16" s="280" t="s">
        <v>66</v>
      </c>
      <c r="C16" s="274" t="s">
        <v>49</v>
      </c>
      <c r="D16" s="281">
        <v>5752.21</v>
      </c>
      <c r="E16" s="295">
        <f>337772.19/10000</f>
        <v>33.777219</v>
      </c>
      <c r="F16" s="295"/>
      <c r="G16" s="295"/>
      <c r="H16" s="298"/>
      <c r="I16" s="295">
        <f t="shared" si="2"/>
        <v>33.777219</v>
      </c>
      <c r="J16" s="274" t="s">
        <v>49</v>
      </c>
      <c r="K16" s="295">
        <v>5752.21</v>
      </c>
      <c r="L16" s="295">
        <f t="shared" si="3"/>
        <v>58.7204204992516</v>
      </c>
      <c r="M16" s="327"/>
      <c r="N16" s="328"/>
      <c r="O16" s="255"/>
      <c r="P16" s="255"/>
      <c r="Q16" s="255"/>
      <c r="R16" s="255"/>
      <c r="S16" s="255"/>
      <c r="T16" s="255"/>
      <c r="U16" s="255"/>
    </row>
    <row r="17" s="260" customFormat="1" ht="35" customHeight="1" spans="1:21">
      <c r="A17" s="285">
        <v>5</v>
      </c>
      <c r="B17" s="280" t="s">
        <v>67</v>
      </c>
      <c r="C17" s="274" t="s">
        <v>68</v>
      </c>
      <c r="D17" s="281">
        <v>70</v>
      </c>
      <c r="E17" s="295">
        <f>K17*L17/10000</f>
        <v>10.5</v>
      </c>
      <c r="F17" s="295"/>
      <c r="G17" s="295"/>
      <c r="H17" s="298"/>
      <c r="I17" s="295">
        <f t="shared" si="2"/>
        <v>10.5</v>
      </c>
      <c r="J17" s="274" t="s">
        <v>68</v>
      </c>
      <c r="K17" s="295">
        <v>70</v>
      </c>
      <c r="L17" s="295">
        <v>1500</v>
      </c>
      <c r="M17" s="327"/>
      <c r="N17" s="328"/>
      <c r="O17" s="255"/>
      <c r="P17" s="255"/>
      <c r="Q17" s="338"/>
      <c r="R17" s="338"/>
      <c r="S17" s="338"/>
      <c r="T17" s="338"/>
      <c r="U17" s="338"/>
    </row>
    <row r="18" s="260" customFormat="1" ht="35" customHeight="1" spans="1:21">
      <c r="A18" s="285">
        <v>6</v>
      </c>
      <c r="B18" s="280" t="s">
        <v>69</v>
      </c>
      <c r="C18" s="274" t="s">
        <v>49</v>
      </c>
      <c r="D18" s="281">
        <v>5752.21</v>
      </c>
      <c r="E18" s="295">
        <f>704998.06/10000</f>
        <v>70.499806</v>
      </c>
      <c r="F18" s="294"/>
      <c r="G18" s="295">
        <f>267704.12/10000</f>
        <v>26.770412</v>
      </c>
      <c r="H18" s="294"/>
      <c r="I18" s="295">
        <f t="shared" si="2"/>
        <v>97.270218</v>
      </c>
      <c r="J18" s="274" t="s">
        <v>49</v>
      </c>
      <c r="K18" s="295">
        <v>5752.21</v>
      </c>
      <c r="L18" s="295">
        <f t="shared" si="3"/>
        <v>169.100603072558</v>
      </c>
      <c r="M18" s="327"/>
      <c r="N18" s="328"/>
      <c r="O18" s="255"/>
      <c r="P18" s="255"/>
      <c r="Q18" s="338"/>
      <c r="R18" s="338"/>
      <c r="S18" s="338"/>
      <c r="T18" s="338"/>
      <c r="U18" s="255"/>
    </row>
    <row r="19" s="260" customFormat="1" ht="35" customHeight="1" spans="1:21">
      <c r="A19" s="285">
        <v>7</v>
      </c>
      <c r="B19" s="280" t="s">
        <v>70</v>
      </c>
      <c r="C19" s="274" t="s">
        <v>49</v>
      </c>
      <c r="D19" s="281">
        <v>5753.21</v>
      </c>
      <c r="E19" s="295">
        <f>169116.52/10000</f>
        <v>16.911652</v>
      </c>
      <c r="F19" s="294"/>
      <c r="G19" s="295">
        <f>72719.46/10000</f>
        <v>7.271946</v>
      </c>
      <c r="H19" s="294"/>
      <c r="I19" s="295">
        <f t="shared" si="2"/>
        <v>24.183598</v>
      </c>
      <c r="J19" s="274" t="s">
        <v>49</v>
      </c>
      <c r="K19" s="295">
        <v>5753.21</v>
      </c>
      <c r="L19" s="295">
        <f t="shared" si="3"/>
        <v>42.0349648283306</v>
      </c>
      <c r="M19" s="327"/>
      <c r="N19" s="328"/>
      <c r="O19" s="255"/>
      <c r="P19" s="255"/>
      <c r="Q19" s="338"/>
      <c r="R19" s="338"/>
      <c r="S19" s="338"/>
      <c r="T19" s="338"/>
      <c r="U19" s="255"/>
    </row>
    <row r="20" s="260" customFormat="1" ht="35" customHeight="1" spans="1:21">
      <c r="A20" s="285">
        <v>8</v>
      </c>
      <c r="B20" s="280" t="s">
        <v>71</v>
      </c>
      <c r="C20" s="274" t="s">
        <v>49</v>
      </c>
      <c r="D20" s="281">
        <v>5754.21</v>
      </c>
      <c r="E20" s="295">
        <f>329150.85/10000</f>
        <v>32.915085</v>
      </c>
      <c r="F20" s="294"/>
      <c r="G20" s="295">
        <f>1576564.17/10000</f>
        <v>157.656417</v>
      </c>
      <c r="H20" s="294"/>
      <c r="I20" s="295">
        <f t="shared" si="2"/>
        <v>190.571502</v>
      </c>
      <c r="J20" s="274" t="s">
        <v>49</v>
      </c>
      <c r="K20" s="295">
        <v>5754.21</v>
      </c>
      <c r="L20" s="295">
        <f t="shared" si="3"/>
        <v>331.186213224752</v>
      </c>
      <c r="M20" s="327"/>
      <c r="N20" s="328"/>
      <c r="O20" s="255"/>
      <c r="P20" s="255"/>
      <c r="Q20" s="338"/>
      <c r="R20" s="338"/>
      <c r="S20" s="338"/>
      <c r="T20" s="338"/>
      <c r="U20" s="255"/>
    </row>
    <row r="21" s="260" customFormat="1" ht="35" customHeight="1" spans="1:21">
      <c r="A21" s="282" t="s">
        <v>72</v>
      </c>
      <c r="B21" s="273" t="s">
        <v>73</v>
      </c>
      <c r="C21" s="270"/>
      <c r="D21" s="271"/>
      <c r="E21" s="299">
        <f>SUM(E22:E23)</f>
        <v>90.36</v>
      </c>
      <c r="F21" s="299"/>
      <c r="G21" s="299"/>
      <c r="H21" s="299"/>
      <c r="I21" s="299">
        <f>SUM(I22:I23)</f>
        <v>90.36</v>
      </c>
      <c r="J21" s="270"/>
      <c r="K21" s="294"/>
      <c r="L21" s="294"/>
      <c r="M21" s="327"/>
      <c r="N21" s="328"/>
      <c r="O21" s="255"/>
      <c r="P21" s="255"/>
      <c r="Q21" s="338"/>
      <c r="R21" s="338"/>
      <c r="S21" s="338"/>
      <c r="T21" s="338"/>
      <c r="U21" s="338"/>
    </row>
    <row r="22" s="258" customFormat="1" ht="35" customHeight="1" spans="1:21">
      <c r="A22" s="275">
        <v>1</v>
      </c>
      <c r="B22" s="280" t="s">
        <v>74</v>
      </c>
      <c r="C22" s="274" t="s">
        <v>49</v>
      </c>
      <c r="D22" s="281">
        <v>8760</v>
      </c>
      <c r="E22" s="300">
        <f>K22*L22/10000</f>
        <v>87.6</v>
      </c>
      <c r="F22" s="295"/>
      <c r="G22" s="300"/>
      <c r="H22" s="296"/>
      <c r="I22" s="295">
        <f>SUM(E22:H22)</f>
        <v>87.6</v>
      </c>
      <c r="J22" s="274" t="s">
        <v>49</v>
      </c>
      <c r="K22" s="295">
        <v>8760</v>
      </c>
      <c r="L22" s="295">
        <v>100</v>
      </c>
      <c r="M22" s="322"/>
      <c r="N22" s="325"/>
      <c r="O22" s="323"/>
      <c r="P22" s="323"/>
      <c r="Q22" s="337"/>
      <c r="R22" s="337"/>
      <c r="S22" s="337"/>
      <c r="T22" s="337"/>
      <c r="U22" s="337"/>
    </row>
    <row r="23" s="258" customFormat="1" ht="35" customHeight="1" spans="1:21">
      <c r="A23" s="275">
        <v>2</v>
      </c>
      <c r="B23" s="280" t="s">
        <v>75</v>
      </c>
      <c r="C23" s="274" t="s">
        <v>49</v>
      </c>
      <c r="D23" s="281">
        <v>1840</v>
      </c>
      <c r="E23" s="300">
        <f>K23*L23/10000</f>
        <v>2.76</v>
      </c>
      <c r="F23" s="295"/>
      <c r="G23" s="300"/>
      <c r="H23" s="296"/>
      <c r="I23" s="295">
        <f>SUM(E23:H23)</f>
        <v>2.76</v>
      </c>
      <c r="J23" s="274" t="s">
        <v>49</v>
      </c>
      <c r="K23" s="295">
        <v>1840</v>
      </c>
      <c r="L23" s="295">
        <v>15</v>
      </c>
      <c r="M23" s="322"/>
      <c r="N23" s="325"/>
      <c r="O23" s="323"/>
      <c r="P23" s="323"/>
      <c r="Q23" s="337"/>
      <c r="R23" s="337"/>
      <c r="S23" s="337"/>
      <c r="T23" s="337"/>
      <c r="U23" s="337"/>
    </row>
    <row r="24" s="259" customFormat="1" ht="35" customHeight="1" spans="1:21">
      <c r="A24" s="270" t="s">
        <v>76</v>
      </c>
      <c r="B24" s="290" t="s">
        <v>77</v>
      </c>
      <c r="C24" s="270" t="s">
        <v>60</v>
      </c>
      <c r="D24" s="271"/>
      <c r="E24" s="290"/>
      <c r="F24" s="294"/>
      <c r="G24" s="294"/>
      <c r="H24" s="294">
        <f>SUM(H25:H48)</f>
        <v>535.10948396979</v>
      </c>
      <c r="I24" s="294">
        <f>SUM(I25:I48)</f>
        <v>535.10948396979</v>
      </c>
      <c r="J24" s="270" t="s">
        <v>60</v>
      </c>
      <c r="K24" s="306"/>
      <c r="L24" s="306"/>
      <c r="M24" s="320">
        <f>I24/I50</f>
        <v>0.0828553430359295</v>
      </c>
      <c r="N24" s="255"/>
      <c r="O24" s="329"/>
      <c r="P24" s="255"/>
      <c r="Q24" s="339"/>
      <c r="R24" s="255"/>
      <c r="S24" s="255"/>
      <c r="T24" s="255"/>
      <c r="U24" s="255"/>
    </row>
    <row r="25" s="257" customFormat="1" ht="35" customHeight="1" spans="1:21">
      <c r="A25" s="274">
        <v>1</v>
      </c>
      <c r="B25" s="291" t="s">
        <v>78</v>
      </c>
      <c r="C25" s="274" t="s">
        <v>79</v>
      </c>
      <c r="D25" s="281">
        <v>5735.141194</v>
      </c>
      <c r="E25" s="295"/>
      <c r="F25" s="295"/>
      <c r="G25" s="291"/>
      <c r="H25" s="295">
        <f>K25*L25</f>
        <v>34.410847164</v>
      </c>
      <c r="I25" s="295">
        <f>H25</f>
        <v>34.410847164</v>
      </c>
      <c r="J25" s="274" t="s">
        <v>79</v>
      </c>
      <c r="K25" s="281">
        <f>I4</f>
        <v>5735.141194</v>
      </c>
      <c r="L25" s="307">
        <v>0.006</v>
      </c>
      <c r="M25" s="330"/>
      <c r="N25" s="323"/>
      <c r="O25" s="331"/>
      <c r="P25" s="323"/>
      <c r="Q25" s="323"/>
      <c r="R25" s="323"/>
      <c r="S25" s="323"/>
      <c r="T25" s="323"/>
      <c r="U25" s="323"/>
    </row>
    <row r="26" s="257" customFormat="1" ht="35" customHeight="1" spans="1:21">
      <c r="A26" s="274">
        <v>2</v>
      </c>
      <c r="B26" s="291" t="s">
        <v>80</v>
      </c>
      <c r="C26" s="274" t="s">
        <v>79</v>
      </c>
      <c r="D26" s="281">
        <v>5735.141194</v>
      </c>
      <c r="E26" s="295"/>
      <c r="F26" s="295"/>
      <c r="G26" s="291"/>
      <c r="H26" s="295">
        <v>4.6</v>
      </c>
      <c r="I26" s="295">
        <f>H26</f>
        <v>4.6</v>
      </c>
      <c r="J26" s="274" t="s">
        <v>79</v>
      </c>
      <c r="K26" s="281">
        <f>K25</f>
        <v>5735.141194</v>
      </c>
      <c r="L26" s="307">
        <f>I26/K26</f>
        <v>0.000802072668204304</v>
      </c>
      <c r="M26" s="330"/>
      <c r="N26" s="323"/>
      <c r="O26" s="331"/>
      <c r="P26" s="323"/>
      <c r="Q26" s="323"/>
      <c r="R26" s="323"/>
      <c r="S26" s="323"/>
      <c r="T26" s="323"/>
      <c r="U26" s="323"/>
    </row>
    <row r="27" s="257" customFormat="1" ht="35" customHeight="1" spans="1:21">
      <c r="A27" s="274">
        <v>3</v>
      </c>
      <c r="B27" s="291" t="s">
        <v>81</v>
      </c>
      <c r="C27" s="274" t="s">
        <v>79</v>
      </c>
      <c r="D27" s="281">
        <v>5735.141194</v>
      </c>
      <c r="E27" s="295"/>
      <c r="F27" s="295"/>
      <c r="G27" s="295"/>
      <c r="H27" s="295">
        <f>K27*L27</f>
        <v>86.02711791</v>
      </c>
      <c r="I27" s="295">
        <f>H27</f>
        <v>86.02711791</v>
      </c>
      <c r="J27" s="274" t="s">
        <v>79</v>
      </c>
      <c r="K27" s="281">
        <f>I4</f>
        <v>5735.141194</v>
      </c>
      <c r="L27" s="307">
        <v>0.015</v>
      </c>
      <c r="M27" s="330"/>
      <c r="N27" s="323"/>
      <c r="O27" s="331"/>
      <c r="P27" s="323"/>
      <c r="Q27" s="323"/>
      <c r="R27" s="323"/>
      <c r="S27" s="323"/>
      <c r="T27" s="323"/>
      <c r="U27" s="323"/>
    </row>
    <row r="28" s="257" customFormat="1" ht="35" customHeight="1" spans="1:21">
      <c r="A28" s="274">
        <v>4</v>
      </c>
      <c r="B28" s="291" t="s">
        <v>82</v>
      </c>
      <c r="C28" s="274" t="s">
        <v>79</v>
      </c>
      <c r="D28" s="281">
        <v>5735.141194</v>
      </c>
      <c r="E28" s="295"/>
      <c r="F28" s="295"/>
      <c r="G28" s="295"/>
      <c r="H28" s="295">
        <v>117</v>
      </c>
      <c r="I28" s="295">
        <f>H28</f>
        <v>117</v>
      </c>
      <c r="J28" s="274" t="s">
        <v>79</v>
      </c>
      <c r="K28" s="281">
        <f>I4</f>
        <v>5735.141194</v>
      </c>
      <c r="L28" s="307">
        <f>I28/K28</f>
        <v>0.020400543952153</v>
      </c>
      <c r="M28" s="330"/>
      <c r="N28" s="323"/>
      <c r="O28" s="332"/>
      <c r="P28" s="323"/>
      <c r="Q28" s="323"/>
      <c r="R28" s="323"/>
      <c r="S28" s="323"/>
      <c r="T28" s="323"/>
      <c r="U28" s="323"/>
    </row>
    <row r="29" s="257" customFormat="1" ht="35" customHeight="1" spans="1:21">
      <c r="A29" s="274">
        <v>5</v>
      </c>
      <c r="B29" s="291" t="s">
        <v>83</v>
      </c>
      <c r="C29" s="274" t="s">
        <v>79</v>
      </c>
      <c r="D29" s="281">
        <v>5735.141194</v>
      </c>
      <c r="E29" s="295"/>
      <c r="F29" s="295"/>
      <c r="G29" s="295"/>
      <c r="H29" s="295">
        <v>19.87</v>
      </c>
      <c r="I29" s="295">
        <f>H29</f>
        <v>19.87</v>
      </c>
      <c r="J29" s="274" t="s">
        <v>79</v>
      </c>
      <c r="K29" s="281">
        <f>K37</f>
        <v>5735.141194</v>
      </c>
      <c r="L29" s="307">
        <v>0.0035</v>
      </c>
      <c r="M29" s="330"/>
      <c r="N29" s="323"/>
      <c r="O29" s="331"/>
      <c r="P29" s="323"/>
      <c r="Q29" s="323"/>
      <c r="R29" s="323"/>
      <c r="S29" s="323"/>
      <c r="T29" s="323"/>
      <c r="U29" s="323"/>
    </row>
    <row r="30" s="257" customFormat="1" ht="35" customHeight="1" spans="1:21">
      <c r="A30" s="274">
        <v>6</v>
      </c>
      <c r="B30" s="291" t="s">
        <v>84</v>
      </c>
      <c r="C30" s="274" t="s">
        <v>79</v>
      </c>
      <c r="D30" s="281">
        <v>5735.141194</v>
      </c>
      <c r="E30" s="295"/>
      <c r="F30" s="295"/>
      <c r="G30" s="295"/>
      <c r="H30" s="295">
        <f>K30*L30</f>
        <v>28.67570597</v>
      </c>
      <c r="I30" s="295">
        <f>H30</f>
        <v>28.67570597</v>
      </c>
      <c r="J30" s="274" t="s">
        <v>79</v>
      </c>
      <c r="K30" s="281">
        <f>I4</f>
        <v>5735.141194</v>
      </c>
      <c r="L30" s="307">
        <v>0.005</v>
      </c>
      <c r="M30" s="330"/>
      <c r="N30" s="323"/>
      <c r="O30" s="331"/>
      <c r="P30" s="323"/>
      <c r="Q30" s="323"/>
      <c r="R30" s="323"/>
      <c r="S30" s="323"/>
      <c r="T30" s="323"/>
      <c r="U30" s="323"/>
    </row>
    <row r="31" s="257" customFormat="1" ht="35" customHeight="1" spans="1:21">
      <c r="A31" s="274">
        <v>7</v>
      </c>
      <c r="B31" s="291" t="s">
        <v>85</v>
      </c>
      <c r="C31" s="274" t="s">
        <v>79</v>
      </c>
      <c r="D31" s="281">
        <v>5735.141194</v>
      </c>
      <c r="E31" s="295"/>
      <c r="F31" s="295"/>
      <c r="G31" s="295"/>
      <c r="H31" s="295">
        <f>K31*L31</f>
        <v>14.88269139843</v>
      </c>
      <c r="I31" s="295">
        <f>H31</f>
        <v>14.88269139843</v>
      </c>
      <c r="J31" s="274" t="s">
        <v>79</v>
      </c>
      <c r="K31" s="281">
        <f>I4</f>
        <v>5735.141194</v>
      </c>
      <c r="L31" s="307">
        <v>0.002595</v>
      </c>
      <c r="M31" s="330"/>
      <c r="N31" s="323"/>
      <c r="O31" s="331"/>
      <c r="P31" s="323"/>
      <c r="Q31" s="323"/>
      <c r="R31" s="323"/>
      <c r="S31" s="323"/>
      <c r="T31" s="323"/>
      <c r="U31" s="323"/>
    </row>
    <row r="32" s="257" customFormat="1" ht="35" customHeight="1" spans="1:21">
      <c r="A32" s="274">
        <v>8</v>
      </c>
      <c r="B32" s="291" t="s">
        <v>86</v>
      </c>
      <c r="C32" s="274" t="s">
        <v>79</v>
      </c>
      <c r="D32" s="281">
        <v>5735.141194</v>
      </c>
      <c r="E32" s="295"/>
      <c r="F32" s="295"/>
      <c r="G32" s="295"/>
      <c r="H32" s="295">
        <f>K32*L32</f>
        <v>9.7497400298</v>
      </c>
      <c r="I32" s="295">
        <f>H32</f>
        <v>9.7497400298</v>
      </c>
      <c r="J32" s="274" t="s">
        <v>79</v>
      </c>
      <c r="K32" s="281">
        <f>I4</f>
        <v>5735.141194</v>
      </c>
      <c r="L32" s="308">
        <v>0.0017</v>
      </c>
      <c r="M32" s="330"/>
      <c r="N32" s="323"/>
      <c r="O32" s="332"/>
      <c r="P32" s="323"/>
      <c r="Q32" s="323"/>
      <c r="R32" s="323"/>
      <c r="S32" s="323"/>
      <c r="T32" s="323"/>
      <c r="U32" s="323"/>
    </row>
    <row r="33" s="257" customFormat="1" ht="46" customHeight="1" spans="1:21">
      <c r="A33" s="274">
        <v>9</v>
      </c>
      <c r="B33" s="292" t="s">
        <v>87</v>
      </c>
      <c r="C33" s="274" t="s">
        <v>88</v>
      </c>
      <c r="D33" s="287">
        <v>5735.141194</v>
      </c>
      <c r="E33" s="295"/>
      <c r="F33" s="295"/>
      <c r="G33" s="295"/>
      <c r="H33" s="295">
        <f>K33*L33/10000</f>
        <v>20.072994179</v>
      </c>
      <c r="I33" s="295">
        <f>H33</f>
        <v>20.072994179</v>
      </c>
      <c r="J33" s="274" t="s">
        <v>88</v>
      </c>
      <c r="K33" s="281">
        <f>K32</f>
        <v>5735.141194</v>
      </c>
      <c r="L33" s="309">
        <v>35</v>
      </c>
      <c r="M33" s="330"/>
      <c r="N33" s="323"/>
      <c r="O33" s="332"/>
      <c r="P33" s="323"/>
      <c r="Q33" s="323"/>
      <c r="R33" s="323"/>
      <c r="S33" s="323"/>
      <c r="T33" s="323"/>
      <c r="U33" s="323"/>
    </row>
    <row r="34" s="257" customFormat="1" ht="35" customHeight="1" spans="1:21">
      <c r="A34" s="274">
        <v>10</v>
      </c>
      <c r="B34" s="291" t="s">
        <v>89</v>
      </c>
      <c r="C34" s="274" t="s">
        <v>79</v>
      </c>
      <c r="D34" s="281">
        <v>5735.141194</v>
      </c>
      <c r="E34" s="295"/>
      <c r="F34" s="295"/>
      <c r="G34" s="295"/>
      <c r="H34" s="295">
        <f>K34*L34</f>
        <v>14.337852985</v>
      </c>
      <c r="I34" s="295">
        <f>H34</f>
        <v>14.337852985</v>
      </c>
      <c r="J34" s="274" t="s">
        <v>79</v>
      </c>
      <c r="K34" s="281">
        <f>K25</f>
        <v>5735.141194</v>
      </c>
      <c r="L34" s="308">
        <v>0.0025</v>
      </c>
      <c r="M34" s="330" t="s">
        <v>90</v>
      </c>
      <c r="N34" s="323"/>
      <c r="O34" s="332"/>
      <c r="P34" s="323"/>
      <c r="Q34" s="323"/>
      <c r="R34" s="323"/>
      <c r="S34" s="323"/>
      <c r="T34" s="323"/>
      <c r="U34" s="323"/>
    </row>
    <row r="35" s="257" customFormat="1" ht="45" customHeight="1" spans="1:21">
      <c r="A35" s="274">
        <v>11</v>
      </c>
      <c r="B35" s="292" t="s">
        <v>91</v>
      </c>
      <c r="C35" s="274" t="s">
        <v>79</v>
      </c>
      <c r="D35" s="287">
        <v>5735.141194</v>
      </c>
      <c r="E35" s="295"/>
      <c r="F35" s="295"/>
      <c r="G35" s="295"/>
      <c r="H35" s="295">
        <f>K35*L35</f>
        <v>34.410847164</v>
      </c>
      <c r="I35" s="295">
        <f>H35</f>
        <v>34.410847164</v>
      </c>
      <c r="J35" s="274" t="s">
        <v>79</v>
      </c>
      <c r="K35" s="281">
        <f>I4</f>
        <v>5735.141194</v>
      </c>
      <c r="L35" s="307">
        <v>0.006</v>
      </c>
      <c r="M35" s="330"/>
      <c r="N35" s="323"/>
      <c r="O35" s="331"/>
      <c r="P35" s="333"/>
      <c r="Q35" s="323"/>
      <c r="R35" s="323"/>
      <c r="S35" s="323"/>
      <c r="T35" s="323"/>
      <c r="U35" s="323"/>
    </row>
    <row r="36" s="257" customFormat="1" ht="35" customHeight="1" spans="1:21">
      <c r="A36" s="274">
        <v>12</v>
      </c>
      <c r="B36" s="291" t="s">
        <v>92</v>
      </c>
      <c r="C36" s="274" t="s">
        <v>79</v>
      </c>
      <c r="D36" s="281">
        <v>5735.141194</v>
      </c>
      <c r="E36" s="295"/>
      <c r="F36" s="295"/>
      <c r="G36" s="295"/>
      <c r="H36" s="295">
        <f>K36*L36</f>
        <v>22.3670506566</v>
      </c>
      <c r="I36" s="295">
        <f>H36</f>
        <v>22.3670506566</v>
      </c>
      <c r="J36" s="274" t="s">
        <v>79</v>
      </c>
      <c r="K36" s="281">
        <f>I4</f>
        <v>5735.141194</v>
      </c>
      <c r="L36" s="307">
        <v>0.0039</v>
      </c>
      <c r="M36" s="330"/>
      <c r="N36" s="323"/>
      <c r="O36" s="331"/>
      <c r="P36" s="323"/>
      <c r="Q36" s="323"/>
      <c r="R36" s="323"/>
      <c r="S36" s="323"/>
      <c r="T36" s="323"/>
      <c r="U36" s="323"/>
    </row>
    <row r="37" s="257" customFormat="1" ht="35" customHeight="1" spans="1:21">
      <c r="A37" s="274">
        <v>13</v>
      </c>
      <c r="B37" s="291" t="s">
        <v>93</v>
      </c>
      <c r="C37" s="274" t="s">
        <v>79</v>
      </c>
      <c r="D37" s="281">
        <v>5735.141194</v>
      </c>
      <c r="E37" s="295"/>
      <c r="F37" s="295"/>
      <c r="G37" s="295"/>
      <c r="H37" s="295">
        <f>K37*L37</f>
        <v>48.748700149</v>
      </c>
      <c r="I37" s="295">
        <f>H37</f>
        <v>48.748700149</v>
      </c>
      <c r="J37" s="274" t="s">
        <v>79</v>
      </c>
      <c r="K37" s="281">
        <f>I4</f>
        <v>5735.141194</v>
      </c>
      <c r="L37" s="307">
        <v>0.0085</v>
      </c>
      <c r="M37" s="330"/>
      <c r="N37" s="323"/>
      <c r="O37" s="331"/>
      <c r="P37" s="323"/>
      <c r="Q37" s="323"/>
      <c r="R37" s="323"/>
      <c r="S37" s="323"/>
      <c r="T37" s="323"/>
      <c r="U37" s="323"/>
    </row>
    <row r="38" s="257" customFormat="1" ht="35" customHeight="1" spans="1:21">
      <c r="A38" s="274">
        <v>14</v>
      </c>
      <c r="B38" s="291" t="s">
        <v>94</v>
      </c>
      <c r="C38" s="274" t="s">
        <v>79</v>
      </c>
      <c r="D38" s="281">
        <v>5735.141194</v>
      </c>
      <c r="E38" s="295"/>
      <c r="F38" s="295"/>
      <c r="G38" s="295"/>
      <c r="H38" s="295">
        <f>K38*L38</f>
        <v>22.940564776</v>
      </c>
      <c r="I38" s="295">
        <f t="shared" ref="I38:I43" si="4">H38</f>
        <v>22.940564776</v>
      </c>
      <c r="J38" s="274" t="s">
        <v>79</v>
      </c>
      <c r="K38" s="281">
        <f>I4</f>
        <v>5735.141194</v>
      </c>
      <c r="L38" s="307">
        <v>0.004</v>
      </c>
      <c r="M38" s="330"/>
      <c r="N38" s="323"/>
      <c r="O38" s="331"/>
      <c r="P38" s="323"/>
      <c r="Q38" s="323"/>
      <c r="R38" s="323"/>
      <c r="S38" s="323"/>
      <c r="T38" s="323"/>
      <c r="U38" s="323"/>
    </row>
    <row r="39" s="257" customFormat="1" ht="35" customHeight="1" spans="1:21">
      <c r="A39" s="274">
        <v>15</v>
      </c>
      <c r="B39" s="291" t="s">
        <v>95</v>
      </c>
      <c r="C39" s="274" t="s">
        <v>96</v>
      </c>
      <c r="D39" s="281">
        <v>800</v>
      </c>
      <c r="E39" s="295"/>
      <c r="F39" s="295"/>
      <c r="G39" s="295"/>
      <c r="H39" s="295">
        <f>K39*L39/10000</f>
        <v>6</v>
      </c>
      <c r="I39" s="295">
        <f t="shared" si="4"/>
        <v>6</v>
      </c>
      <c r="J39" s="274" t="s">
        <v>96</v>
      </c>
      <c r="K39" s="281">
        <v>800</v>
      </c>
      <c r="L39" s="309">
        <v>75</v>
      </c>
      <c r="M39" s="330"/>
      <c r="N39" s="323"/>
      <c r="O39" s="332"/>
      <c r="P39" s="323"/>
      <c r="Q39" s="323"/>
      <c r="R39" s="323"/>
      <c r="S39" s="323"/>
      <c r="T39" s="323"/>
      <c r="U39" s="323"/>
    </row>
    <row r="40" s="257" customFormat="1" ht="35" customHeight="1" spans="1:21">
      <c r="A40" s="274">
        <v>16</v>
      </c>
      <c r="B40" s="291" t="s">
        <v>97</v>
      </c>
      <c r="C40" s="274" t="s">
        <v>88</v>
      </c>
      <c r="D40" s="281">
        <v>5735.141194</v>
      </c>
      <c r="E40" s="295"/>
      <c r="F40" s="295"/>
      <c r="G40" s="295"/>
      <c r="H40" s="295">
        <f>K40*2/10000</f>
        <v>1.1470282388</v>
      </c>
      <c r="I40" s="295">
        <f t="shared" si="4"/>
        <v>1.1470282388</v>
      </c>
      <c r="J40" s="274" t="s">
        <v>88</v>
      </c>
      <c r="K40" s="281">
        <f>K33</f>
        <v>5735.141194</v>
      </c>
      <c r="L40" s="310">
        <v>2</v>
      </c>
      <c r="M40" s="330"/>
      <c r="N40" s="323"/>
      <c r="O40" s="332"/>
      <c r="P40" s="323"/>
      <c r="Q40" s="323"/>
      <c r="R40" s="323"/>
      <c r="S40" s="323"/>
      <c r="T40" s="323"/>
      <c r="U40" s="323"/>
    </row>
    <row r="41" s="257" customFormat="1" ht="35" customHeight="1" spans="1:21">
      <c r="A41" s="274">
        <v>17</v>
      </c>
      <c r="B41" s="291" t="s">
        <v>98</v>
      </c>
      <c r="C41" s="274" t="s">
        <v>79</v>
      </c>
      <c r="D41" s="281">
        <v>5735.141194</v>
      </c>
      <c r="E41" s="295"/>
      <c r="F41" s="295"/>
      <c r="G41" s="295"/>
      <c r="H41" s="295">
        <f>K41*L41</f>
        <v>9.97914567756</v>
      </c>
      <c r="I41" s="295">
        <f t="shared" si="4"/>
        <v>9.97914567756</v>
      </c>
      <c r="J41" s="274" t="s">
        <v>79</v>
      </c>
      <c r="K41" s="281">
        <f>I4</f>
        <v>5735.141194</v>
      </c>
      <c r="L41" s="307">
        <v>0.00174</v>
      </c>
      <c r="M41" s="330"/>
      <c r="N41" s="323"/>
      <c r="O41" s="331"/>
      <c r="P41" s="323"/>
      <c r="Q41" s="323"/>
      <c r="R41" s="323"/>
      <c r="S41" s="323"/>
      <c r="T41" s="323"/>
      <c r="U41" s="323"/>
    </row>
    <row r="42" s="257" customFormat="1" ht="35" customHeight="1" spans="1:21">
      <c r="A42" s="274">
        <v>18</v>
      </c>
      <c r="B42" s="291" t="s">
        <v>99</v>
      </c>
      <c r="C42" s="274" t="s">
        <v>79</v>
      </c>
      <c r="D42" s="281">
        <v>5735.141194</v>
      </c>
      <c r="E42" s="295"/>
      <c r="F42" s="295"/>
      <c r="G42" s="295"/>
      <c r="H42" s="295">
        <f>K42*L42</f>
        <v>5.735141194</v>
      </c>
      <c r="I42" s="295">
        <f t="shared" si="4"/>
        <v>5.735141194</v>
      </c>
      <c r="J42" s="274" t="s">
        <v>79</v>
      </c>
      <c r="K42" s="281">
        <f>I4</f>
        <v>5735.141194</v>
      </c>
      <c r="L42" s="307">
        <v>0.001</v>
      </c>
      <c r="M42" s="330"/>
      <c r="N42" s="323"/>
      <c r="O42" s="331"/>
      <c r="P42" s="323"/>
      <c r="Q42" s="323"/>
      <c r="R42" s="323"/>
      <c r="S42" s="323"/>
      <c r="T42" s="323"/>
      <c r="U42" s="323"/>
    </row>
    <row r="43" s="257" customFormat="1" ht="35" customHeight="1" spans="1:21">
      <c r="A43" s="274">
        <v>19</v>
      </c>
      <c r="B43" s="291" t="s">
        <v>100</v>
      </c>
      <c r="C43" s="274"/>
      <c r="D43" s="281"/>
      <c r="E43" s="295"/>
      <c r="F43" s="295"/>
      <c r="G43" s="295"/>
      <c r="H43" s="295">
        <v>8</v>
      </c>
      <c r="I43" s="295">
        <f t="shared" si="4"/>
        <v>8</v>
      </c>
      <c r="J43" s="274"/>
      <c r="K43" s="311"/>
      <c r="L43" s="309"/>
      <c r="M43" s="330"/>
      <c r="N43" s="323"/>
      <c r="O43" s="332"/>
      <c r="P43" s="323"/>
      <c r="Q43" s="323"/>
      <c r="R43" s="323"/>
      <c r="S43" s="323"/>
      <c r="T43" s="323"/>
      <c r="U43" s="323"/>
    </row>
    <row r="44" s="257" customFormat="1" ht="35" customHeight="1" spans="1:21">
      <c r="A44" s="274">
        <v>20</v>
      </c>
      <c r="B44" s="291" t="s">
        <v>101</v>
      </c>
      <c r="C44" s="274" t="s">
        <v>88</v>
      </c>
      <c r="D44" s="281">
        <v>1540</v>
      </c>
      <c r="E44" s="295"/>
      <c r="F44" s="295"/>
      <c r="G44" s="295"/>
      <c r="H44" s="295">
        <f>K44*L44/10000</f>
        <v>13.86</v>
      </c>
      <c r="I44" s="295">
        <f t="shared" ref="I44:I49" si="5">H44</f>
        <v>13.86</v>
      </c>
      <c r="J44" s="274" t="s">
        <v>88</v>
      </c>
      <c r="K44" s="311">
        <v>1540</v>
      </c>
      <c r="L44" s="309">
        <v>90</v>
      </c>
      <c r="M44" s="330"/>
      <c r="N44" s="323"/>
      <c r="O44" s="332"/>
      <c r="P44" s="323"/>
      <c r="Q44" s="323"/>
      <c r="R44" s="323"/>
      <c r="S44" s="323"/>
      <c r="T44" s="323"/>
      <c r="U44" s="323"/>
    </row>
    <row r="45" s="257" customFormat="1" ht="35" customHeight="1" spans="1:21">
      <c r="A45" s="274">
        <v>21</v>
      </c>
      <c r="B45" s="291" t="s">
        <v>102</v>
      </c>
      <c r="C45" s="274" t="s">
        <v>88</v>
      </c>
      <c r="D45" s="281">
        <v>5735.141194</v>
      </c>
      <c r="E45" s="295"/>
      <c r="F45" s="295"/>
      <c r="G45" s="295"/>
      <c r="H45" s="295">
        <f>K45*L45/10000</f>
        <v>1.1470282388</v>
      </c>
      <c r="I45" s="295">
        <f t="shared" si="5"/>
        <v>1.1470282388</v>
      </c>
      <c r="J45" s="274" t="s">
        <v>88</v>
      </c>
      <c r="K45" s="281">
        <f>K40</f>
        <v>5735.141194</v>
      </c>
      <c r="L45" s="312">
        <v>2</v>
      </c>
      <c r="M45" s="330"/>
      <c r="N45" s="323"/>
      <c r="O45" s="332"/>
      <c r="P45" s="323"/>
      <c r="Q45" s="323"/>
      <c r="R45" s="323"/>
      <c r="S45" s="323"/>
      <c r="T45" s="323"/>
      <c r="U45" s="323"/>
    </row>
    <row r="46" s="257" customFormat="1" ht="35" customHeight="1" spans="1:21">
      <c r="A46" s="274">
        <v>22</v>
      </c>
      <c r="B46" s="291" t="s">
        <v>103</v>
      </c>
      <c r="C46" s="274" t="s">
        <v>79</v>
      </c>
      <c r="D46" s="281"/>
      <c r="E46" s="295"/>
      <c r="F46" s="295"/>
      <c r="G46" s="295"/>
      <c r="H46" s="295">
        <v>5</v>
      </c>
      <c r="I46" s="295">
        <f t="shared" si="5"/>
        <v>5</v>
      </c>
      <c r="J46" s="274" t="s">
        <v>79</v>
      </c>
      <c r="K46" s="311"/>
      <c r="L46" s="309"/>
      <c r="M46" s="330"/>
      <c r="N46" s="323"/>
      <c r="O46" s="332"/>
      <c r="P46" s="323"/>
      <c r="Q46" s="323"/>
      <c r="R46" s="323"/>
      <c r="S46" s="323"/>
      <c r="T46" s="323"/>
      <c r="U46" s="323"/>
    </row>
    <row r="47" s="257" customFormat="1" ht="35" customHeight="1" spans="1:21">
      <c r="A47" s="274">
        <v>23</v>
      </c>
      <c r="B47" s="291" t="s">
        <v>104</v>
      </c>
      <c r="C47" s="274" t="s">
        <v>88</v>
      </c>
      <c r="D47" s="281">
        <v>5735.141194</v>
      </c>
      <c r="E47" s="295"/>
      <c r="F47" s="295"/>
      <c r="G47" s="295"/>
      <c r="H47" s="295">
        <f>K47*L47/10000</f>
        <v>1.1470282388</v>
      </c>
      <c r="I47" s="295">
        <f t="shared" si="5"/>
        <v>1.1470282388</v>
      </c>
      <c r="J47" s="274" t="s">
        <v>88</v>
      </c>
      <c r="K47" s="281">
        <f>K40</f>
        <v>5735.141194</v>
      </c>
      <c r="L47" s="313">
        <v>2</v>
      </c>
      <c r="M47" s="330"/>
      <c r="N47" s="323"/>
      <c r="O47" s="332"/>
      <c r="P47" s="323"/>
      <c r="Q47" s="323"/>
      <c r="R47" s="323"/>
      <c r="S47" s="323"/>
      <c r="T47" s="323"/>
      <c r="U47" s="323"/>
    </row>
    <row r="48" s="257" customFormat="1" ht="35" customHeight="1" spans="1:21">
      <c r="A48" s="274">
        <v>24</v>
      </c>
      <c r="B48" s="291" t="s">
        <v>105</v>
      </c>
      <c r="C48" s="274"/>
      <c r="D48" s="281"/>
      <c r="E48" s="295"/>
      <c r="F48" s="295"/>
      <c r="G48" s="295"/>
      <c r="H48" s="295">
        <v>5</v>
      </c>
      <c r="I48" s="295">
        <f t="shared" si="5"/>
        <v>5</v>
      </c>
      <c r="J48" s="274"/>
      <c r="K48" s="281"/>
      <c r="L48" s="313"/>
      <c r="M48" s="330"/>
      <c r="N48" s="323"/>
      <c r="O48" s="332"/>
      <c r="P48" s="323"/>
      <c r="Q48" s="323"/>
      <c r="R48" s="323"/>
      <c r="S48" s="323"/>
      <c r="T48" s="323"/>
      <c r="U48" s="323"/>
    </row>
    <row r="49" s="259" customFormat="1" ht="35" customHeight="1" spans="1:21">
      <c r="A49" s="270" t="s">
        <v>106</v>
      </c>
      <c r="B49" s="290" t="s">
        <v>107</v>
      </c>
      <c r="C49" s="270" t="s">
        <v>60</v>
      </c>
      <c r="D49" s="271">
        <v>6270.25067796979</v>
      </c>
      <c r="E49" s="294"/>
      <c r="F49" s="294"/>
      <c r="G49" s="294"/>
      <c r="H49" s="294">
        <f>K49*L49</f>
        <v>188.107520339094</v>
      </c>
      <c r="I49" s="294">
        <f t="shared" si="5"/>
        <v>188.107520339094</v>
      </c>
      <c r="J49" s="270" t="s">
        <v>60</v>
      </c>
      <c r="K49" s="294">
        <f>I24+I4</f>
        <v>6270.25067796979</v>
      </c>
      <c r="L49" s="314">
        <v>0.03</v>
      </c>
      <c r="M49" s="334">
        <f>I49/I50</f>
        <v>0.029126213592233</v>
      </c>
      <c r="N49" s="255"/>
      <c r="O49" s="255"/>
      <c r="P49" s="255"/>
      <c r="Q49" s="255"/>
      <c r="R49" s="255"/>
      <c r="S49" s="255"/>
      <c r="T49" s="255"/>
      <c r="U49" s="255"/>
    </row>
    <row r="50" s="259" customFormat="1" ht="35" customHeight="1" spans="1:21">
      <c r="A50" s="270" t="s">
        <v>108</v>
      </c>
      <c r="B50" s="290" t="s">
        <v>109</v>
      </c>
      <c r="C50" s="270" t="s">
        <v>110</v>
      </c>
      <c r="D50" s="271">
        <v>10300</v>
      </c>
      <c r="E50" s="294">
        <f>E4</f>
        <v>4434.546465</v>
      </c>
      <c r="F50" s="294">
        <f>F4</f>
        <v>120</v>
      </c>
      <c r="G50" s="301">
        <f>G4</f>
        <v>1180.594729</v>
      </c>
      <c r="H50" s="294">
        <f>H24+H49</f>
        <v>723.217004308884</v>
      </c>
      <c r="I50" s="294">
        <f>I4+I24+I49</f>
        <v>6458.35819830888</v>
      </c>
      <c r="J50" s="315" t="s">
        <v>110</v>
      </c>
      <c r="K50" s="316">
        <f>K4</f>
        <v>10300</v>
      </c>
      <c r="L50" s="316">
        <f>I50/K50*10000</f>
        <v>6270.25067796979</v>
      </c>
      <c r="M50" s="335">
        <f>M4+M24+M49</f>
        <v>1</v>
      </c>
      <c r="N50" s="255"/>
      <c r="O50" s="255"/>
      <c r="P50" s="255"/>
      <c r="Q50" s="255"/>
      <c r="R50" s="255"/>
      <c r="S50" s="255"/>
      <c r="T50" s="255"/>
      <c r="U50" s="255"/>
    </row>
    <row r="53" customHeight="1" spans="9:9">
      <c r="I53" s="317"/>
    </row>
  </sheetData>
  <mergeCells count="6">
    <mergeCell ref="A1:M1"/>
    <mergeCell ref="C2:D2"/>
    <mergeCell ref="E2:I2"/>
    <mergeCell ref="J2:L2"/>
    <mergeCell ref="A2:A3"/>
    <mergeCell ref="B2:B3"/>
  </mergeCells>
  <pageMargins left="0.629861111111111" right="0.747916666666667" top="0.751388888888889" bottom="0.751388888888889" header="0.298611111111111" footer="0.298611111111111"/>
  <pageSetup paperSize="9" scale="62" fitToHeight="0" orientation="portrait" horizontalDpi="600"/>
  <headerFooter/>
  <colBreaks count="2" manualBreakCount="2">
    <brk id="9" max="49" man="1"/>
    <brk id="13" max="1048575" man="1"/>
  </colBreaks>
  <ignoredErrors>
    <ignoredError sqref="I21 H40 H3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2"/>
  <sheetViews>
    <sheetView zoomScale="70" zoomScaleNormal="70" topLeftCell="A36" workbookViewId="0">
      <selection activeCell="B40" sqref="B40"/>
    </sheetView>
  </sheetViews>
  <sheetFormatPr defaultColWidth="10.2666666666667" defaultRowHeight="28" customHeight="1"/>
  <cols>
    <col min="1" max="1" width="17.1142857142857" style="194"/>
    <col min="2" max="2" width="52.2666666666667" style="195" customWidth="1"/>
    <col min="3" max="3" width="20.1809523809524" style="196"/>
    <col min="4" max="4" width="17.1333333333333" style="195" customWidth="1"/>
    <col min="5" max="5" width="20.2666666666667" style="194"/>
    <col min="6" max="6" width="18.152380952381" style="195" customWidth="1"/>
    <col min="7" max="7" width="17.7238095238095" style="197" customWidth="1"/>
    <col min="8" max="8" width="15.8571428571429" style="194"/>
    <col min="9" max="9" width="20.1809523809524" style="196"/>
    <col min="10" max="10" width="20.2666666666667" style="196"/>
    <col min="11" max="11" width="24.4" style="195" customWidth="1"/>
    <col min="12" max="12" width="14.5714285714286" style="195"/>
    <col min="13" max="14" width="20.1428571428571" style="195"/>
    <col min="15" max="15" width="42" style="195" customWidth="1"/>
    <col min="16" max="16" width="27.7238095238095" style="195" customWidth="1"/>
    <col min="17" max="17" width="10.4571428571429" style="195"/>
    <col min="18" max="18" width="24.6285714285714" style="195" customWidth="1"/>
    <col min="19" max="19" width="15.5428571428571" style="195" customWidth="1"/>
    <col min="20" max="16384" width="10.2666666666667" style="195"/>
  </cols>
  <sheetData>
    <row r="1" ht="42" customHeight="1" spans="1:11">
      <c r="A1" s="198" t="s">
        <v>111</v>
      </c>
      <c r="B1" s="198"/>
      <c r="C1" s="199"/>
      <c r="D1" s="198"/>
      <c r="E1" s="198"/>
      <c r="F1" s="198"/>
      <c r="G1" s="221"/>
      <c r="H1" s="198"/>
      <c r="I1" s="199"/>
      <c r="J1" s="199"/>
      <c r="K1" s="198"/>
    </row>
    <row r="2" customHeight="1" spans="1:11">
      <c r="A2" s="200" t="s">
        <v>112</v>
      </c>
      <c r="B2" s="200"/>
      <c r="C2" s="201"/>
      <c r="D2" s="200"/>
      <c r="E2" s="200"/>
      <c r="F2" s="200"/>
      <c r="G2" s="222"/>
      <c r="H2" s="200"/>
      <c r="I2" s="201"/>
      <c r="J2" s="201"/>
      <c r="K2" s="200"/>
    </row>
    <row r="3" s="188" customFormat="1" ht="35" customHeight="1" spans="1:11">
      <c r="A3" s="202" t="s">
        <v>1</v>
      </c>
      <c r="B3" s="203" t="s">
        <v>113</v>
      </c>
      <c r="C3" s="204" t="s">
        <v>114</v>
      </c>
      <c r="D3" s="204"/>
      <c r="E3" s="204"/>
      <c r="F3" s="204"/>
      <c r="G3" s="223"/>
      <c r="H3" s="204" t="s">
        <v>115</v>
      </c>
      <c r="I3" s="229"/>
      <c r="J3" s="229"/>
      <c r="K3" s="230" t="s">
        <v>116</v>
      </c>
    </row>
    <row r="4" s="188" customFormat="1" ht="35" customHeight="1" spans="1:11">
      <c r="A4" s="205"/>
      <c r="B4" s="206"/>
      <c r="C4" s="206" t="s">
        <v>6</v>
      </c>
      <c r="D4" s="206" t="s">
        <v>7</v>
      </c>
      <c r="E4" s="206" t="s">
        <v>8</v>
      </c>
      <c r="F4" s="206" t="s">
        <v>9</v>
      </c>
      <c r="G4" s="127" t="s">
        <v>10</v>
      </c>
      <c r="H4" s="168" t="s">
        <v>11</v>
      </c>
      <c r="I4" s="168" t="s">
        <v>12</v>
      </c>
      <c r="J4" s="206" t="s">
        <v>117</v>
      </c>
      <c r="K4" s="231"/>
    </row>
    <row r="5" s="189" customFormat="1" ht="38" customHeight="1" spans="1:11">
      <c r="A5" s="207" t="s">
        <v>14</v>
      </c>
      <c r="B5" s="127" t="s">
        <v>15</v>
      </c>
      <c r="C5" s="165">
        <f t="shared" ref="C5:G5" si="0">C6+C13+C22</f>
        <v>4434.546465</v>
      </c>
      <c r="D5" s="165">
        <f t="shared" si="0"/>
        <v>120</v>
      </c>
      <c r="E5" s="165">
        <f t="shared" si="0"/>
        <v>1180.594729</v>
      </c>
      <c r="F5" s="165"/>
      <c r="G5" s="165">
        <f t="shared" si="0"/>
        <v>5735.141194</v>
      </c>
      <c r="H5" s="168" t="s">
        <v>16</v>
      </c>
      <c r="I5" s="165">
        <f>I6</f>
        <v>10300</v>
      </c>
      <c r="J5" s="165">
        <f t="shared" ref="J5:J11" si="1">G5/I5*10000</f>
        <v>5568.09824660194</v>
      </c>
      <c r="K5" s="108">
        <f>G5/G51</f>
        <v>0.888018443371838</v>
      </c>
    </row>
    <row r="6" s="188" customFormat="1" ht="38" customHeight="1" spans="1:16">
      <c r="A6" s="208" t="s">
        <v>118</v>
      </c>
      <c r="B6" s="161" t="s">
        <v>119</v>
      </c>
      <c r="C6" s="165">
        <f t="shared" ref="C6:G6" si="2">SUM(C7:C12)</f>
        <v>3931.833773</v>
      </c>
      <c r="D6" s="165">
        <f t="shared" si="2"/>
        <v>120</v>
      </c>
      <c r="E6" s="165">
        <f t="shared" si="2"/>
        <v>988.895954</v>
      </c>
      <c r="F6" s="165"/>
      <c r="G6" s="165">
        <f t="shared" si="2"/>
        <v>5040.729727</v>
      </c>
      <c r="H6" s="53" t="s">
        <v>16</v>
      </c>
      <c r="I6" s="165">
        <f>I7</f>
        <v>10300</v>
      </c>
      <c r="J6" s="232">
        <f t="shared" si="1"/>
        <v>4893.91235631068</v>
      </c>
      <c r="K6" s="233"/>
      <c r="P6" s="245"/>
    </row>
    <row r="7" s="190" customFormat="1" ht="38" customHeight="1" spans="1:19">
      <c r="A7" s="209">
        <v>1</v>
      </c>
      <c r="B7" s="210" t="s">
        <v>120</v>
      </c>
      <c r="C7" s="39">
        <f>39318337.73/10000</f>
        <v>3931.833773</v>
      </c>
      <c r="D7" s="39"/>
      <c r="E7" s="39"/>
      <c r="F7" s="126"/>
      <c r="G7" s="39">
        <f t="shared" ref="G7:G12" si="3">SUM(C7:F7)</f>
        <v>3931.833773</v>
      </c>
      <c r="H7" s="53" t="s">
        <v>16</v>
      </c>
      <c r="I7" s="39">
        <v>10300</v>
      </c>
      <c r="J7" s="175">
        <f t="shared" si="1"/>
        <v>3817.31434271845</v>
      </c>
      <c r="K7" s="66"/>
      <c r="L7" s="234"/>
      <c r="M7" s="234"/>
      <c r="N7" s="234"/>
      <c r="O7" s="234">
        <f>N7/I6*10000</f>
        <v>0</v>
      </c>
      <c r="P7" s="246"/>
      <c r="Q7" s="234"/>
      <c r="R7" s="234"/>
      <c r="S7" s="234"/>
    </row>
    <row r="8" s="190" customFormat="1" ht="38" customHeight="1" spans="1:19">
      <c r="A8" s="209">
        <v>2</v>
      </c>
      <c r="B8" s="24" t="s">
        <v>121</v>
      </c>
      <c r="C8" s="39"/>
      <c r="D8" s="39"/>
      <c r="E8" s="39">
        <f>2689386.46/10000</f>
        <v>268.938646</v>
      </c>
      <c r="F8" s="126"/>
      <c r="G8" s="39">
        <f t="shared" si="3"/>
        <v>268.938646</v>
      </c>
      <c r="H8" s="53" t="s">
        <v>16</v>
      </c>
      <c r="I8" s="39">
        <f>I6</f>
        <v>10300</v>
      </c>
      <c r="J8" s="175">
        <f t="shared" si="1"/>
        <v>261.105481553398</v>
      </c>
      <c r="K8" s="66"/>
      <c r="L8" s="234"/>
      <c r="M8" s="234">
        <f>G5-G12-G18-G22</f>
        <v>5514.281194</v>
      </c>
      <c r="N8" s="234"/>
      <c r="O8" s="247"/>
      <c r="P8" s="247"/>
      <c r="Q8" s="247"/>
      <c r="R8" s="247"/>
      <c r="S8" s="234"/>
    </row>
    <row r="9" s="190" customFormat="1" ht="38" customHeight="1" spans="1:19">
      <c r="A9" s="209">
        <v>3</v>
      </c>
      <c r="B9" s="24" t="s">
        <v>122</v>
      </c>
      <c r="C9" s="39"/>
      <c r="D9" s="39"/>
      <c r="E9" s="39">
        <f>46311.38/10000</f>
        <v>4.631138</v>
      </c>
      <c r="F9" s="126"/>
      <c r="G9" s="39">
        <f t="shared" si="3"/>
        <v>4.631138</v>
      </c>
      <c r="H9" s="53" t="s">
        <v>123</v>
      </c>
      <c r="I9" s="39">
        <v>1</v>
      </c>
      <c r="J9" s="175">
        <f t="shared" si="1"/>
        <v>46311.38</v>
      </c>
      <c r="K9" s="66"/>
      <c r="L9" s="234"/>
      <c r="M9" s="234"/>
      <c r="N9" s="248"/>
      <c r="O9" s="247"/>
      <c r="P9" s="247"/>
      <c r="Q9" s="247"/>
      <c r="R9" s="247"/>
      <c r="S9" s="234"/>
    </row>
    <row r="10" s="190" customFormat="1" ht="38" customHeight="1" spans="1:19">
      <c r="A10" s="209">
        <v>4</v>
      </c>
      <c r="B10" s="3" t="s">
        <v>124</v>
      </c>
      <c r="C10" s="211"/>
      <c r="D10" s="39"/>
      <c r="E10" s="39">
        <f>(1004984.64+612060.39)/10000</f>
        <v>161.704503</v>
      </c>
      <c r="F10" s="126"/>
      <c r="G10" s="39">
        <f t="shared" si="3"/>
        <v>161.704503</v>
      </c>
      <c r="H10" s="53" t="s">
        <v>16</v>
      </c>
      <c r="I10" s="39">
        <f>I6</f>
        <v>10300</v>
      </c>
      <c r="J10" s="175">
        <f t="shared" si="1"/>
        <v>156.994663106796</v>
      </c>
      <c r="K10" s="66"/>
      <c r="L10" s="234"/>
      <c r="M10" s="234"/>
      <c r="N10" s="234"/>
      <c r="O10" s="247">
        <f>18500*200</f>
        <v>3700000</v>
      </c>
      <c r="P10" s="247"/>
      <c r="Q10" s="247"/>
      <c r="R10" s="247"/>
      <c r="S10" s="234"/>
    </row>
    <row r="11" s="191" customFormat="1" ht="38" customHeight="1" spans="1:19">
      <c r="A11" s="209">
        <v>5</v>
      </c>
      <c r="B11" s="3" t="s">
        <v>125</v>
      </c>
      <c r="C11" s="211"/>
      <c r="D11" s="39"/>
      <c r="E11" s="39">
        <f>(2028752.42+3507464.25)/10000</f>
        <v>553.621667</v>
      </c>
      <c r="F11" s="126"/>
      <c r="G11" s="39">
        <f t="shared" si="3"/>
        <v>553.621667</v>
      </c>
      <c r="H11" s="53" t="s">
        <v>16</v>
      </c>
      <c r="I11" s="39">
        <f>I6</f>
        <v>10300</v>
      </c>
      <c r="J11" s="175">
        <f t="shared" si="1"/>
        <v>537.49676407767</v>
      </c>
      <c r="K11" s="66"/>
      <c r="L11" s="235"/>
      <c r="M11" s="234" t="e">
        <f>G5-G12-G18-#REF!-G22</f>
        <v>#REF!</v>
      </c>
      <c r="N11" s="234"/>
      <c r="O11" s="247"/>
      <c r="P11" s="247"/>
      <c r="Q11" s="247"/>
      <c r="R11" s="247"/>
      <c r="S11" s="234"/>
    </row>
    <row r="12" s="191" customFormat="1" ht="38" customHeight="1" spans="1:19">
      <c r="A12" s="209">
        <v>6</v>
      </c>
      <c r="B12" s="3" t="s">
        <v>126</v>
      </c>
      <c r="C12" s="211"/>
      <c r="D12" s="39">
        <f>I12*J12/10000</f>
        <v>120</v>
      </c>
      <c r="E12" s="39"/>
      <c r="F12" s="126"/>
      <c r="G12" s="39">
        <f t="shared" si="3"/>
        <v>120</v>
      </c>
      <c r="H12" s="53" t="s">
        <v>127</v>
      </c>
      <c r="I12" s="39">
        <v>3</v>
      </c>
      <c r="J12" s="175">
        <v>400000</v>
      </c>
      <c r="K12" s="66"/>
      <c r="L12" s="235"/>
      <c r="M12" s="249"/>
      <c r="N12" s="234"/>
      <c r="O12" s="247" t="e">
        <f>G6-G12-#REF!</f>
        <v>#REF!</v>
      </c>
      <c r="P12" s="247"/>
      <c r="Q12" s="247"/>
      <c r="R12" s="247"/>
      <c r="S12" s="234"/>
    </row>
    <row r="13" s="192" customFormat="1" ht="38" customHeight="1" spans="1:19">
      <c r="A13" s="160" t="s">
        <v>128</v>
      </c>
      <c r="B13" s="212" t="s">
        <v>129</v>
      </c>
      <c r="C13" s="165">
        <f t="shared" ref="C13:G13" si="4">SUM(C14:C21)</f>
        <v>412.352692</v>
      </c>
      <c r="D13" s="165"/>
      <c r="E13" s="165">
        <f t="shared" si="4"/>
        <v>191.698775</v>
      </c>
      <c r="F13" s="165"/>
      <c r="G13" s="165">
        <f t="shared" si="4"/>
        <v>604.051467</v>
      </c>
      <c r="H13" s="168" t="s">
        <v>130</v>
      </c>
      <c r="I13" s="165"/>
      <c r="J13" s="232"/>
      <c r="K13" s="173"/>
      <c r="L13" s="188"/>
      <c r="M13" s="188"/>
      <c r="N13" s="188"/>
      <c r="O13" s="188"/>
      <c r="P13" s="188"/>
      <c r="Q13" s="188"/>
      <c r="R13" s="188"/>
      <c r="S13" s="188"/>
    </row>
    <row r="14" s="191" customFormat="1" ht="38" customHeight="1" spans="1:19">
      <c r="A14" s="213">
        <v>1</v>
      </c>
      <c r="B14" s="214" t="s">
        <v>131</v>
      </c>
      <c r="C14" s="39">
        <f>1733969.62/10000</f>
        <v>173.396962</v>
      </c>
      <c r="D14" s="39"/>
      <c r="E14" s="39"/>
      <c r="F14" s="126"/>
      <c r="G14" s="39">
        <f t="shared" ref="G14:G21" si="5">SUM(C14:F14)</f>
        <v>173.396962</v>
      </c>
      <c r="H14" s="53" t="s">
        <v>16</v>
      </c>
      <c r="I14" s="39">
        <v>8400</v>
      </c>
      <c r="J14" s="175">
        <f t="shared" ref="J14:J17" si="6">G14/I14*10000</f>
        <v>206.424954761905</v>
      </c>
      <c r="K14" s="66"/>
      <c r="L14" s="235"/>
      <c r="M14" s="234"/>
      <c r="N14" s="234">
        <v>5543</v>
      </c>
      <c r="O14" s="247"/>
      <c r="P14" s="247"/>
      <c r="Q14" s="247"/>
      <c r="R14" s="247"/>
      <c r="S14" s="234"/>
    </row>
    <row r="15" s="192" customFormat="1" ht="38" customHeight="1" spans="1:19">
      <c r="A15" s="213">
        <v>2</v>
      </c>
      <c r="B15" s="215" t="s">
        <v>132</v>
      </c>
      <c r="C15" s="39">
        <f>728495.17/10000</f>
        <v>72.849517</v>
      </c>
      <c r="D15" s="165"/>
      <c r="E15" s="165"/>
      <c r="F15" s="165"/>
      <c r="G15" s="39">
        <f t="shared" si="5"/>
        <v>72.849517</v>
      </c>
      <c r="H15" s="53" t="s">
        <v>63</v>
      </c>
      <c r="I15" s="39">
        <v>15000</v>
      </c>
      <c r="J15" s="175">
        <f t="shared" si="6"/>
        <v>48.5663446666667</v>
      </c>
      <c r="K15" s="173"/>
      <c r="L15" s="188"/>
      <c r="M15" s="188"/>
      <c r="N15" s="188"/>
      <c r="O15" s="188"/>
      <c r="P15" s="188"/>
      <c r="Q15" s="188"/>
      <c r="R15" s="188"/>
      <c r="S15" s="188"/>
    </row>
    <row r="16" s="193" customFormat="1" ht="38" customHeight="1" spans="1:19">
      <c r="A16" s="213">
        <v>3</v>
      </c>
      <c r="B16" s="215" t="s">
        <v>133</v>
      </c>
      <c r="C16" s="39">
        <f>15024.51/10000</f>
        <v>1.502451</v>
      </c>
      <c r="D16" s="165"/>
      <c r="E16" s="165"/>
      <c r="F16" s="165"/>
      <c r="G16" s="39">
        <f t="shared" si="5"/>
        <v>1.502451</v>
      </c>
      <c r="H16" s="53" t="s">
        <v>65</v>
      </c>
      <c r="I16" s="39">
        <v>316.57</v>
      </c>
      <c r="J16" s="175">
        <f t="shared" si="6"/>
        <v>47.4603089364122</v>
      </c>
      <c r="K16" s="173"/>
      <c r="L16" s="236"/>
      <c r="M16" s="188"/>
      <c r="N16" s="188">
        <f>N14-M8</f>
        <v>28.7188059999999</v>
      </c>
      <c r="O16" s="188"/>
      <c r="P16" s="188"/>
      <c r="Q16" s="188"/>
      <c r="R16" s="188"/>
      <c r="S16" s="188"/>
    </row>
    <row r="17" s="193" customFormat="1" ht="38" customHeight="1" spans="1:19">
      <c r="A17" s="213">
        <v>4</v>
      </c>
      <c r="B17" s="3" t="s">
        <v>134</v>
      </c>
      <c r="C17" s="39">
        <f>337772.19/10000</f>
        <v>33.777219</v>
      </c>
      <c r="D17" s="39"/>
      <c r="E17" s="39"/>
      <c r="F17" s="22"/>
      <c r="G17" s="39">
        <f t="shared" si="5"/>
        <v>33.777219</v>
      </c>
      <c r="H17" s="53" t="s">
        <v>16</v>
      </c>
      <c r="I17" s="39">
        <v>5752.21</v>
      </c>
      <c r="J17" s="39">
        <f t="shared" si="6"/>
        <v>58.7204204992516</v>
      </c>
      <c r="K17" s="173"/>
      <c r="L17" s="236"/>
      <c r="M17" s="188"/>
      <c r="N17" s="188"/>
      <c r="O17" s="188"/>
      <c r="P17" s="188"/>
      <c r="Q17" s="188"/>
      <c r="R17" s="188"/>
      <c r="S17" s="188"/>
    </row>
    <row r="18" s="193" customFormat="1" ht="38" customHeight="1" spans="1:19">
      <c r="A18" s="213">
        <v>5</v>
      </c>
      <c r="B18" s="3" t="s">
        <v>135</v>
      </c>
      <c r="C18" s="39">
        <f>I18*J18/10000</f>
        <v>10.5</v>
      </c>
      <c r="D18" s="39"/>
      <c r="E18" s="39"/>
      <c r="F18" s="22"/>
      <c r="G18" s="39">
        <f t="shared" si="5"/>
        <v>10.5</v>
      </c>
      <c r="H18" s="53" t="s">
        <v>136</v>
      </c>
      <c r="I18" s="39">
        <v>70</v>
      </c>
      <c r="J18" s="39">
        <v>1500</v>
      </c>
      <c r="K18" s="173"/>
      <c r="L18" s="236"/>
      <c r="M18" s="188"/>
      <c r="N18" s="188"/>
      <c r="O18" s="250"/>
      <c r="P18" s="250"/>
      <c r="Q18" s="250"/>
      <c r="R18" s="250"/>
      <c r="S18" s="250"/>
    </row>
    <row r="19" s="193" customFormat="1" ht="38" customHeight="1" spans="1:19">
      <c r="A19" s="213">
        <v>6</v>
      </c>
      <c r="B19" s="3" t="s">
        <v>137</v>
      </c>
      <c r="C19" s="39">
        <f>704998.06/10000</f>
        <v>70.499806</v>
      </c>
      <c r="D19" s="165"/>
      <c r="E19" s="39">
        <f>267704.12/10000</f>
        <v>26.770412</v>
      </c>
      <c r="F19" s="165"/>
      <c r="G19" s="39">
        <f t="shared" si="5"/>
        <v>97.270218</v>
      </c>
      <c r="H19" s="53" t="s">
        <v>16</v>
      </c>
      <c r="I19" s="39">
        <v>5752.21</v>
      </c>
      <c r="J19" s="39">
        <f t="shared" ref="J19:J21" si="7">G19/I19*10000</f>
        <v>169.100603072558</v>
      </c>
      <c r="K19" s="173"/>
      <c r="L19" s="236"/>
      <c r="M19" s="188"/>
      <c r="N19" s="188"/>
      <c r="O19" s="250"/>
      <c r="P19" s="250"/>
      <c r="Q19" s="250"/>
      <c r="R19" s="250"/>
      <c r="S19" s="188"/>
    </row>
    <row r="20" s="193" customFormat="1" ht="38" customHeight="1" spans="1:19">
      <c r="A20" s="213">
        <v>7</v>
      </c>
      <c r="B20" s="3" t="s">
        <v>138</v>
      </c>
      <c r="C20" s="39">
        <f>169116.52/10000</f>
        <v>16.911652</v>
      </c>
      <c r="D20" s="165"/>
      <c r="E20" s="39">
        <f>72719.46/10000</f>
        <v>7.271946</v>
      </c>
      <c r="F20" s="165"/>
      <c r="G20" s="39">
        <f t="shared" si="5"/>
        <v>24.183598</v>
      </c>
      <c r="H20" s="53" t="s">
        <v>16</v>
      </c>
      <c r="I20" s="39">
        <v>5753.21</v>
      </c>
      <c r="J20" s="39">
        <f t="shared" si="7"/>
        <v>42.0349648283306</v>
      </c>
      <c r="K20" s="173"/>
      <c r="L20" s="236"/>
      <c r="M20" s="188"/>
      <c r="N20" s="188"/>
      <c r="O20" s="250"/>
      <c r="P20" s="250"/>
      <c r="Q20" s="250"/>
      <c r="R20" s="250"/>
      <c r="S20" s="188"/>
    </row>
    <row r="21" s="193" customFormat="1" ht="38" customHeight="1" spans="1:19">
      <c r="A21" s="213">
        <v>8</v>
      </c>
      <c r="B21" s="3" t="s">
        <v>139</v>
      </c>
      <c r="C21" s="39">
        <f>329150.85/10000</f>
        <v>32.915085</v>
      </c>
      <c r="D21" s="165"/>
      <c r="E21" s="39">
        <f>1576564.17/10000</f>
        <v>157.656417</v>
      </c>
      <c r="F21" s="165"/>
      <c r="G21" s="39">
        <f t="shared" si="5"/>
        <v>190.571502</v>
      </c>
      <c r="H21" s="53" t="s">
        <v>16</v>
      </c>
      <c r="I21" s="39">
        <v>5754.21</v>
      </c>
      <c r="J21" s="39">
        <f t="shared" si="7"/>
        <v>331.186213224752</v>
      </c>
      <c r="K21" s="173"/>
      <c r="L21" s="236"/>
      <c r="M21" s="188"/>
      <c r="N21" s="188"/>
      <c r="O21" s="250"/>
      <c r="P21" s="250"/>
      <c r="Q21" s="250"/>
      <c r="R21" s="250"/>
      <c r="S21" s="188"/>
    </row>
    <row r="22" s="193" customFormat="1" ht="38" customHeight="1" spans="1:19">
      <c r="A22" s="160" t="s">
        <v>140</v>
      </c>
      <c r="B22" s="161" t="s">
        <v>141</v>
      </c>
      <c r="C22" s="159">
        <f>SUM(C23:C24)</f>
        <v>90.36</v>
      </c>
      <c r="D22" s="159"/>
      <c r="E22" s="159"/>
      <c r="F22" s="159"/>
      <c r="G22" s="159">
        <f>SUM(G23:G24)</f>
        <v>90.36</v>
      </c>
      <c r="H22" s="168"/>
      <c r="I22" s="165"/>
      <c r="J22" s="165"/>
      <c r="K22" s="173"/>
      <c r="L22" s="236"/>
      <c r="M22" s="188"/>
      <c r="N22" s="188"/>
      <c r="O22" s="250"/>
      <c r="P22" s="250"/>
      <c r="Q22" s="250"/>
      <c r="R22" s="250"/>
      <c r="S22" s="250"/>
    </row>
    <row r="23" s="191" customFormat="1" ht="38" customHeight="1" spans="1:19">
      <c r="A23" s="209">
        <v>1</v>
      </c>
      <c r="B23" s="3" t="s">
        <v>142</v>
      </c>
      <c r="C23" s="30">
        <f>I23*J23/10000</f>
        <v>87.6</v>
      </c>
      <c r="D23" s="39"/>
      <c r="E23" s="30"/>
      <c r="F23" s="126"/>
      <c r="G23" s="39">
        <f>SUM(C23:F23)</f>
        <v>87.6</v>
      </c>
      <c r="H23" s="53" t="s">
        <v>16</v>
      </c>
      <c r="I23" s="39">
        <v>8760</v>
      </c>
      <c r="J23" s="39">
        <v>100</v>
      </c>
      <c r="K23" s="66"/>
      <c r="L23" s="235"/>
      <c r="M23" s="234"/>
      <c r="N23" s="234"/>
      <c r="O23" s="247"/>
      <c r="P23" s="247"/>
      <c r="Q23" s="247"/>
      <c r="R23" s="247"/>
      <c r="S23" s="247"/>
    </row>
    <row r="24" s="191" customFormat="1" ht="38" customHeight="1" spans="1:19">
      <c r="A24" s="209">
        <v>2</v>
      </c>
      <c r="B24" s="3" t="s">
        <v>143</v>
      </c>
      <c r="C24" s="30">
        <f>I24*J24/10000</f>
        <v>2.76</v>
      </c>
      <c r="D24" s="39"/>
      <c r="E24" s="30"/>
      <c r="F24" s="126"/>
      <c r="G24" s="39">
        <f>SUM(C24:F24)</f>
        <v>2.76</v>
      </c>
      <c r="H24" s="53" t="s">
        <v>16</v>
      </c>
      <c r="I24" s="39">
        <v>1840</v>
      </c>
      <c r="J24" s="39">
        <v>15</v>
      </c>
      <c r="K24" s="66"/>
      <c r="L24" s="235"/>
      <c r="M24" s="234"/>
      <c r="N24" s="234"/>
      <c r="O24" s="247"/>
      <c r="P24" s="247"/>
      <c r="Q24" s="247"/>
      <c r="R24" s="247"/>
      <c r="S24" s="247"/>
    </row>
    <row r="25" s="192" customFormat="1" ht="38" customHeight="1" spans="1:19">
      <c r="A25" s="163" t="s">
        <v>17</v>
      </c>
      <c r="B25" s="164" t="s">
        <v>18</v>
      </c>
      <c r="C25" s="164"/>
      <c r="D25" s="165"/>
      <c r="E25" s="165"/>
      <c r="F25" s="165">
        <f>SUM(F26:F49)</f>
        <v>535.10948396979</v>
      </c>
      <c r="G25" s="165">
        <f>SUM(G26:G49)</f>
        <v>535.10948396979</v>
      </c>
      <c r="H25" s="168" t="s">
        <v>130</v>
      </c>
      <c r="I25" s="105"/>
      <c r="J25" s="105"/>
      <c r="K25" s="108">
        <f>G25/G51</f>
        <v>0.0828553430359295</v>
      </c>
      <c r="L25" s="188"/>
      <c r="M25" s="251"/>
      <c r="N25" s="188"/>
      <c r="O25" s="252"/>
      <c r="P25" s="188"/>
      <c r="Q25" s="188"/>
      <c r="R25" s="188"/>
      <c r="S25" s="188"/>
    </row>
    <row r="26" s="190" customFormat="1" ht="38" customHeight="1" spans="1:19">
      <c r="A26" s="93">
        <v>1</v>
      </c>
      <c r="B26" s="37" t="s">
        <v>144</v>
      </c>
      <c r="C26" s="39"/>
      <c r="D26" s="39"/>
      <c r="E26" s="37"/>
      <c r="F26" s="39">
        <f t="shared" ref="F26:F32" si="8">I26*J26</f>
        <v>34.410847164</v>
      </c>
      <c r="G26" s="39">
        <f t="shared" ref="G26:G50" si="9">F26</f>
        <v>34.410847164</v>
      </c>
      <c r="H26" s="53" t="s">
        <v>130</v>
      </c>
      <c r="I26" s="175">
        <f>G5</f>
        <v>5735.141194</v>
      </c>
      <c r="J26" s="65">
        <v>0.006</v>
      </c>
      <c r="K26" s="104"/>
      <c r="L26" s="234"/>
      <c r="M26" s="253"/>
      <c r="N26" s="234"/>
      <c r="O26" s="234"/>
      <c r="P26" s="234"/>
      <c r="Q26" s="234"/>
      <c r="R26" s="234"/>
      <c r="S26" s="234"/>
    </row>
    <row r="27" s="190" customFormat="1" ht="38" customHeight="1" spans="1:19">
      <c r="A27" s="93">
        <v>2</v>
      </c>
      <c r="B27" s="37" t="s">
        <v>145</v>
      </c>
      <c r="C27" s="39"/>
      <c r="D27" s="39"/>
      <c r="E27" s="37"/>
      <c r="F27" s="39">
        <v>4.6</v>
      </c>
      <c r="G27" s="39">
        <f t="shared" si="9"/>
        <v>4.6</v>
      </c>
      <c r="H27" s="53" t="s">
        <v>130</v>
      </c>
      <c r="I27" s="175">
        <f>I26</f>
        <v>5735.141194</v>
      </c>
      <c r="J27" s="65">
        <f>G27/I27</f>
        <v>0.000802072668204304</v>
      </c>
      <c r="K27" s="104"/>
      <c r="L27" s="234"/>
      <c r="M27" s="253"/>
      <c r="N27" s="234"/>
      <c r="O27" s="234"/>
      <c r="P27" s="234"/>
      <c r="Q27" s="234"/>
      <c r="R27" s="234"/>
      <c r="S27" s="234"/>
    </row>
    <row r="28" s="190" customFormat="1" ht="38" customHeight="1" spans="1:19">
      <c r="A28" s="93">
        <v>3</v>
      </c>
      <c r="B28" s="37" t="s">
        <v>146</v>
      </c>
      <c r="C28" s="39"/>
      <c r="D28" s="39"/>
      <c r="E28" s="39"/>
      <c r="F28" s="39">
        <f t="shared" si="8"/>
        <v>86.02711791</v>
      </c>
      <c r="G28" s="39">
        <f t="shared" si="9"/>
        <v>86.02711791</v>
      </c>
      <c r="H28" s="53" t="s">
        <v>130</v>
      </c>
      <c r="I28" s="175">
        <f>G5</f>
        <v>5735.141194</v>
      </c>
      <c r="J28" s="65">
        <v>0.015</v>
      </c>
      <c r="K28" s="104"/>
      <c r="L28" s="234"/>
      <c r="M28" s="253"/>
      <c r="N28" s="234"/>
      <c r="O28" s="234"/>
      <c r="P28" s="234"/>
      <c r="Q28" s="234"/>
      <c r="R28" s="234"/>
      <c r="S28" s="234"/>
    </row>
    <row r="29" s="190" customFormat="1" ht="38" customHeight="1" spans="1:19">
      <c r="A29" s="93">
        <v>4</v>
      </c>
      <c r="B29" s="37" t="s">
        <v>147</v>
      </c>
      <c r="C29" s="39"/>
      <c r="D29" s="39"/>
      <c r="E29" s="39"/>
      <c r="F29" s="39">
        <v>117</v>
      </c>
      <c r="G29" s="39">
        <f t="shared" si="9"/>
        <v>117</v>
      </c>
      <c r="H29" s="53" t="s">
        <v>130</v>
      </c>
      <c r="I29" s="175">
        <f>G5</f>
        <v>5735.141194</v>
      </c>
      <c r="J29" s="65">
        <f>G29/I29</f>
        <v>0.020400543952153</v>
      </c>
      <c r="K29" s="104"/>
      <c r="L29" s="234"/>
      <c r="M29" s="254"/>
      <c r="N29" s="234"/>
      <c r="O29" s="234"/>
      <c r="P29" s="234"/>
      <c r="Q29" s="234"/>
      <c r="R29" s="234"/>
      <c r="S29" s="234"/>
    </row>
    <row r="30" s="190" customFormat="1" ht="38" customHeight="1" spans="1:19">
      <c r="A30" s="93">
        <v>5</v>
      </c>
      <c r="B30" s="37" t="s">
        <v>148</v>
      </c>
      <c r="C30" s="39"/>
      <c r="D30" s="39"/>
      <c r="E30" s="39"/>
      <c r="F30" s="39">
        <f t="shared" si="8"/>
        <v>28.67570597</v>
      </c>
      <c r="G30" s="39">
        <f t="shared" si="9"/>
        <v>28.67570597</v>
      </c>
      <c r="H30" s="53" t="s">
        <v>130</v>
      </c>
      <c r="I30" s="175">
        <f>G5</f>
        <v>5735.141194</v>
      </c>
      <c r="J30" s="65">
        <v>0.005</v>
      </c>
      <c r="K30" s="104"/>
      <c r="L30" s="234"/>
      <c r="M30" s="253"/>
      <c r="N30" s="234"/>
      <c r="O30" s="234"/>
      <c r="P30" s="234"/>
      <c r="Q30" s="234"/>
      <c r="R30" s="234"/>
      <c r="S30" s="234"/>
    </row>
    <row r="31" s="190" customFormat="1" ht="38" customHeight="1" spans="1:19">
      <c r="A31" s="93">
        <v>6</v>
      </c>
      <c r="B31" s="37" t="s">
        <v>149</v>
      </c>
      <c r="C31" s="39"/>
      <c r="D31" s="39"/>
      <c r="E31" s="39"/>
      <c r="F31" s="39">
        <f t="shared" si="8"/>
        <v>14.88269139843</v>
      </c>
      <c r="G31" s="39">
        <f t="shared" si="9"/>
        <v>14.88269139843</v>
      </c>
      <c r="H31" s="53" t="s">
        <v>130</v>
      </c>
      <c r="I31" s="175">
        <f>G5</f>
        <v>5735.141194</v>
      </c>
      <c r="J31" s="65">
        <v>0.002595</v>
      </c>
      <c r="K31" s="104"/>
      <c r="L31" s="234"/>
      <c r="M31" s="253"/>
      <c r="N31" s="234"/>
      <c r="O31" s="234"/>
      <c r="P31" s="234"/>
      <c r="Q31" s="234"/>
      <c r="R31" s="234"/>
      <c r="S31" s="234"/>
    </row>
    <row r="32" s="190" customFormat="1" ht="38" customHeight="1" spans="1:19">
      <c r="A32" s="93">
        <v>7</v>
      </c>
      <c r="B32" s="37" t="s">
        <v>150</v>
      </c>
      <c r="C32" s="39"/>
      <c r="D32" s="39"/>
      <c r="E32" s="39"/>
      <c r="F32" s="39">
        <f t="shared" si="8"/>
        <v>9.7497400298</v>
      </c>
      <c r="G32" s="39">
        <f t="shared" si="9"/>
        <v>9.7497400298</v>
      </c>
      <c r="H32" s="53" t="s">
        <v>130</v>
      </c>
      <c r="I32" s="175">
        <f>G5</f>
        <v>5735.141194</v>
      </c>
      <c r="J32" s="237">
        <v>0.0017</v>
      </c>
      <c r="K32" s="104"/>
      <c r="L32" s="234"/>
      <c r="M32" s="254"/>
      <c r="N32" s="234"/>
      <c r="O32" s="234"/>
      <c r="P32" s="234"/>
      <c r="Q32" s="234"/>
      <c r="R32" s="234"/>
      <c r="S32" s="234"/>
    </row>
    <row r="33" s="190" customFormat="1" ht="38" customHeight="1" spans="1:19">
      <c r="A33" s="93">
        <v>8</v>
      </c>
      <c r="B33" s="90" t="s">
        <v>151</v>
      </c>
      <c r="C33" s="39"/>
      <c r="D33" s="39"/>
      <c r="E33" s="39"/>
      <c r="F33" s="39">
        <f>I33*J33/10000</f>
        <v>20.072994179</v>
      </c>
      <c r="G33" s="39">
        <f t="shared" si="9"/>
        <v>20.072994179</v>
      </c>
      <c r="H33" s="53" t="s">
        <v>152</v>
      </c>
      <c r="I33" s="175">
        <f>I32</f>
        <v>5735.141194</v>
      </c>
      <c r="J33" s="176">
        <v>35</v>
      </c>
      <c r="K33" s="104"/>
      <c r="L33" s="234"/>
      <c r="M33" s="254">
        <f>I31*0.0017</f>
        <v>9.7497400298</v>
      </c>
      <c r="N33" s="234"/>
      <c r="O33" s="234"/>
      <c r="P33" s="234"/>
      <c r="Q33" s="234"/>
      <c r="R33" s="234"/>
      <c r="S33" s="234"/>
    </row>
    <row r="34" s="190" customFormat="1" ht="38" customHeight="1" spans="1:19">
      <c r="A34" s="93">
        <v>9</v>
      </c>
      <c r="B34" s="37" t="s">
        <v>153</v>
      </c>
      <c r="C34" s="39"/>
      <c r="D34" s="39"/>
      <c r="E34" s="39"/>
      <c r="F34" s="39">
        <f t="shared" ref="F34:F37" si="10">I34*J34</f>
        <v>14.337852985</v>
      </c>
      <c r="G34" s="39">
        <f t="shared" si="9"/>
        <v>14.337852985</v>
      </c>
      <c r="H34" s="53" t="s">
        <v>130</v>
      </c>
      <c r="I34" s="175">
        <f>I26</f>
        <v>5735.141194</v>
      </c>
      <c r="J34" s="237">
        <v>0.0025</v>
      </c>
      <c r="K34" s="104" t="s">
        <v>90</v>
      </c>
      <c r="L34" s="234"/>
      <c r="M34" s="254"/>
      <c r="N34" s="234"/>
      <c r="O34" s="234"/>
      <c r="P34" s="234"/>
      <c r="Q34" s="234"/>
      <c r="R34" s="234"/>
      <c r="S34" s="234"/>
    </row>
    <row r="35" s="190" customFormat="1" ht="38" customHeight="1" spans="1:19">
      <c r="A35" s="93">
        <v>10</v>
      </c>
      <c r="B35" s="90" t="s">
        <v>154</v>
      </c>
      <c r="C35" s="39"/>
      <c r="D35" s="39"/>
      <c r="E35" s="39"/>
      <c r="F35" s="39">
        <f t="shared" si="10"/>
        <v>34.410847164</v>
      </c>
      <c r="G35" s="39">
        <f t="shared" si="9"/>
        <v>34.410847164</v>
      </c>
      <c r="H35" s="53" t="s">
        <v>130</v>
      </c>
      <c r="I35" s="175">
        <f>G5</f>
        <v>5735.141194</v>
      </c>
      <c r="J35" s="65">
        <v>0.006</v>
      </c>
      <c r="K35" s="104"/>
      <c r="L35" s="234"/>
      <c r="M35" s="253"/>
      <c r="N35" s="246"/>
      <c r="O35" s="234"/>
      <c r="P35" s="234"/>
      <c r="Q35" s="234"/>
      <c r="R35" s="234"/>
      <c r="S35" s="234"/>
    </row>
    <row r="36" s="190" customFormat="1" ht="38" customHeight="1" spans="1:19">
      <c r="A36" s="93">
        <v>11</v>
      </c>
      <c r="B36" s="37" t="s">
        <v>155</v>
      </c>
      <c r="C36" s="39"/>
      <c r="D36" s="39"/>
      <c r="E36" s="39"/>
      <c r="F36" s="39">
        <f t="shared" si="10"/>
        <v>22.3670506566</v>
      </c>
      <c r="G36" s="39">
        <f t="shared" si="9"/>
        <v>22.3670506566</v>
      </c>
      <c r="H36" s="53" t="s">
        <v>130</v>
      </c>
      <c r="I36" s="175">
        <f>G5</f>
        <v>5735.141194</v>
      </c>
      <c r="J36" s="65">
        <v>0.0039</v>
      </c>
      <c r="K36" s="104"/>
      <c r="L36" s="234"/>
      <c r="M36" s="253"/>
      <c r="N36" s="234"/>
      <c r="O36" s="234"/>
      <c r="P36" s="234"/>
      <c r="Q36" s="234"/>
      <c r="R36" s="234"/>
      <c r="S36" s="234"/>
    </row>
    <row r="37" s="190" customFormat="1" ht="38" customHeight="1" spans="1:19">
      <c r="A37" s="93">
        <v>12</v>
      </c>
      <c r="B37" s="37" t="s">
        <v>156</v>
      </c>
      <c r="C37" s="39"/>
      <c r="D37" s="39"/>
      <c r="E37" s="39"/>
      <c r="F37" s="39">
        <f t="shared" si="10"/>
        <v>48.748700149</v>
      </c>
      <c r="G37" s="39">
        <f t="shared" si="9"/>
        <v>48.748700149</v>
      </c>
      <c r="H37" s="53" t="s">
        <v>130</v>
      </c>
      <c r="I37" s="175">
        <f>G5</f>
        <v>5735.141194</v>
      </c>
      <c r="J37" s="65">
        <v>0.0085</v>
      </c>
      <c r="K37" s="104"/>
      <c r="L37" s="234"/>
      <c r="M37" s="253"/>
      <c r="N37" s="234"/>
      <c r="O37" s="234"/>
      <c r="P37" s="234"/>
      <c r="Q37" s="234"/>
      <c r="R37" s="234"/>
      <c r="S37" s="234"/>
    </row>
    <row r="38" s="190" customFormat="1" ht="38" customHeight="1" spans="1:19">
      <c r="A38" s="93">
        <v>13</v>
      </c>
      <c r="B38" s="37" t="s">
        <v>157</v>
      </c>
      <c r="C38" s="39"/>
      <c r="D38" s="39"/>
      <c r="E38" s="39"/>
      <c r="F38" s="39">
        <v>19.87</v>
      </c>
      <c r="G38" s="39">
        <f t="shared" si="9"/>
        <v>19.87</v>
      </c>
      <c r="H38" s="53" t="s">
        <v>130</v>
      </c>
      <c r="I38" s="175">
        <f>I37</f>
        <v>5735.141194</v>
      </c>
      <c r="J38" s="65">
        <v>0.0035</v>
      </c>
      <c r="K38" s="104"/>
      <c r="L38" s="234"/>
      <c r="M38" s="253"/>
      <c r="N38" s="234"/>
      <c r="O38" s="234"/>
      <c r="P38" s="234"/>
      <c r="Q38" s="234"/>
      <c r="R38" s="234"/>
      <c r="S38" s="234"/>
    </row>
    <row r="39" s="190" customFormat="1" ht="38" customHeight="1" spans="1:19">
      <c r="A39" s="93">
        <v>14</v>
      </c>
      <c r="B39" s="37" t="s">
        <v>158</v>
      </c>
      <c r="C39" s="39"/>
      <c r="D39" s="39"/>
      <c r="E39" s="39"/>
      <c r="F39" s="39">
        <f t="shared" ref="F39:F43" si="11">I39*J39</f>
        <v>22.940564776</v>
      </c>
      <c r="G39" s="39">
        <f t="shared" si="9"/>
        <v>22.940564776</v>
      </c>
      <c r="H39" s="53" t="s">
        <v>130</v>
      </c>
      <c r="I39" s="175">
        <f>G5</f>
        <v>5735.141194</v>
      </c>
      <c r="J39" s="65">
        <v>0.004</v>
      </c>
      <c r="K39" s="104"/>
      <c r="L39" s="234"/>
      <c r="M39" s="253"/>
      <c r="N39" s="234"/>
      <c r="O39" s="234"/>
      <c r="P39" s="234"/>
      <c r="Q39" s="234"/>
      <c r="R39" s="234"/>
      <c r="S39" s="234"/>
    </row>
    <row r="40" s="190" customFormat="1" ht="38" customHeight="1" spans="1:19">
      <c r="A40" s="93">
        <v>15</v>
      </c>
      <c r="B40" s="37" t="s">
        <v>159</v>
      </c>
      <c r="C40" s="39"/>
      <c r="D40" s="39"/>
      <c r="E40" s="39"/>
      <c r="F40" s="39">
        <f>I40*J40/10000</f>
        <v>6</v>
      </c>
      <c r="G40" s="39">
        <f t="shared" si="9"/>
        <v>6</v>
      </c>
      <c r="H40" s="53" t="s">
        <v>96</v>
      </c>
      <c r="I40" s="175">
        <v>800</v>
      </c>
      <c r="J40" s="176">
        <v>75</v>
      </c>
      <c r="K40" s="104"/>
      <c r="L40" s="234"/>
      <c r="M40" s="254"/>
      <c r="N40" s="234"/>
      <c r="O40" s="234"/>
      <c r="P40" s="234"/>
      <c r="Q40" s="234"/>
      <c r="R40" s="234"/>
      <c r="S40" s="234"/>
    </row>
    <row r="41" s="190" customFormat="1" ht="38" customHeight="1" spans="1:19">
      <c r="A41" s="93">
        <v>16</v>
      </c>
      <c r="B41" s="37" t="s">
        <v>160</v>
      </c>
      <c r="C41" s="39"/>
      <c r="D41" s="39"/>
      <c r="E41" s="39"/>
      <c r="F41" s="39">
        <f>I41*2/10000</f>
        <v>1.1470282388</v>
      </c>
      <c r="G41" s="39">
        <f t="shared" si="9"/>
        <v>1.1470282388</v>
      </c>
      <c r="H41" s="53" t="s">
        <v>152</v>
      </c>
      <c r="I41" s="175">
        <f>I33</f>
        <v>5735.141194</v>
      </c>
      <c r="J41" s="29">
        <v>2</v>
      </c>
      <c r="K41" s="104"/>
      <c r="L41" s="234"/>
      <c r="M41" s="254"/>
      <c r="N41" s="234"/>
      <c r="O41" s="234"/>
      <c r="P41" s="234"/>
      <c r="Q41" s="234"/>
      <c r="R41" s="234"/>
      <c r="S41" s="234"/>
    </row>
    <row r="42" s="190" customFormat="1" ht="38" customHeight="1" spans="1:19">
      <c r="A42" s="93">
        <v>17</v>
      </c>
      <c r="B42" s="37" t="s">
        <v>161</v>
      </c>
      <c r="C42" s="39"/>
      <c r="D42" s="39"/>
      <c r="E42" s="39"/>
      <c r="F42" s="39">
        <f t="shared" si="11"/>
        <v>9.97914567756</v>
      </c>
      <c r="G42" s="39">
        <f t="shared" si="9"/>
        <v>9.97914567756</v>
      </c>
      <c r="H42" s="53" t="s">
        <v>130</v>
      </c>
      <c r="I42" s="175">
        <f>G5</f>
        <v>5735.141194</v>
      </c>
      <c r="J42" s="65">
        <v>0.00174</v>
      </c>
      <c r="K42" s="104"/>
      <c r="L42" s="234"/>
      <c r="M42" s="253"/>
      <c r="N42" s="234"/>
      <c r="O42" s="234"/>
      <c r="P42" s="234"/>
      <c r="Q42" s="234"/>
      <c r="R42" s="234"/>
      <c r="S42" s="234"/>
    </row>
    <row r="43" s="190" customFormat="1" ht="38" customHeight="1" spans="1:19">
      <c r="A43" s="93">
        <v>18</v>
      </c>
      <c r="B43" s="37" t="s">
        <v>162</v>
      </c>
      <c r="C43" s="39"/>
      <c r="D43" s="39"/>
      <c r="E43" s="39"/>
      <c r="F43" s="39">
        <f t="shared" si="11"/>
        <v>5.735141194</v>
      </c>
      <c r="G43" s="39">
        <f t="shared" si="9"/>
        <v>5.735141194</v>
      </c>
      <c r="H43" s="53" t="s">
        <v>130</v>
      </c>
      <c r="I43" s="175">
        <f>G5</f>
        <v>5735.141194</v>
      </c>
      <c r="J43" s="65">
        <v>0.001</v>
      </c>
      <c r="K43" s="104"/>
      <c r="L43" s="234"/>
      <c r="M43" s="253"/>
      <c r="N43" s="234"/>
      <c r="O43" s="234"/>
      <c r="P43" s="234"/>
      <c r="Q43" s="234"/>
      <c r="R43" s="234"/>
      <c r="S43" s="234"/>
    </row>
    <row r="44" s="190" customFormat="1" ht="38" customHeight="1" spans="1:19">
      <c r="A44" s="93">
        <v>19</v>
      </c>
      <c r="B44" s="37" t="s">
        <v>163</v>
      </c>
      <c r="C44" s="39"/>
      <c r="D44" s="39"/>
      <c r="E44" s="39"/>
      <c r="F44" s="39">
        <v>8</v>
      </c>
      <c r="G44" s="39">
        <f t="shared" si="9"/>
        <v>8</v>
      </c>
      <c r="H44" s="53"/>
      <c r="I44" s="177"/>
      <c r="J44" s="176"/>
      <c r="K44" s="104"/>
      <c r="L44" s="234"/>
      <c r="M44" s="254"/>
      <c r="N44" s="234"/>
      <c r="O44" s="234"/>
      <c r="P44" s="234"/>
      <c r="Q44" s="234"/>
      <c r="R44" s="234"/>
      <c r="S44" s="234"/>
    </row>
    <row r="45" s="190" customFormat="1" ht="38" customHeight="1" spans="1:19">
      <c r="A45" s="93">
        <v>20</v>
      </c>
      <c r="B45" s="37" t="s">
        <v>164</v>
      </c>
      <c r="C45" s="39"/>
      <c r="D45" s="39"/>
      <c r="E45" s="39"/>
      <c r="F45" s="39">
        <f t="shared" ref="F45:F48" si="12">I45*J45/10000</f>
        <v>13.86</v>
      </c>
      <c r="G45" s="39">
        <f t="shared" si="9"/>
        <v>13.86</v>
      </c>
      <c r="H45" s="53" t="s">
        <v>152</v>
      </c>
      <c r="I45" s="177">
        <v>1540</v>
      </c>
      <c r="J45" s="176">
        <v>90</v>
      </c>
      <c r="K45" s="104"/>
      <c r="L45" s="234"/>
      <c r="M45" s="254"/>
      <c r="N45" s="234"/>
      <c r="O45" s="234"/>
      <c r="P45" s="234"/>
      <c r="Q45" s="234"/>
      <c r="R45" s="234"/>
      <c r="S45" s="234"/>
    </row>
    <row r="46" s="190" customFormat="1" ht="38" customHeight="1" spans="1:19">
      <c r="A46" s="93">
        <v>21</v>
      </c>
      <c r="B46" s="37" t="s">
        <v>165</v>
      </c>
      <c r="C46" s="39"/>
      <c r="D46" s="39"/>
      <c r="E46" s="39"/>
      <c r="F46" s="39">
        <f t="shared" si="12"/>
        <v>1.1470282388</v>
      </c>
      <c r="G46" s="39">
        <f t="shared" si="9"/>
        <v>1.1470282388</v>
      </c>
      <c r="H46" s="53" t="s">
        <v>152</v>
      </c>
      <c r="I46" s="175">
        <f>I41</f>
        <v>5735.141194</v>
      </c>
      <c r="J46" s="238">
        <v>2</v>
      </c>
      <c r="K46" s="104"/>
      <c r="L46" s="234"/>
      <c r="M46" s="254"/>
      <c r="N46" s="234"/>
      <c r="O46" s="234"/>
      <c r="P46" s="234"/>
      <c r="Q46" s="234"/>
      <c r="R46" s="234"/>
      <c r="S46" s="234"/>
    </row>
    <row r="47" s="190" customFormat="1" ht="38" customHeight="1" spans="1:19">
      <c r="A47" s="93">
        <v>22</v>
      </c>
      <c r="B47" s="37" t="s">
        <v>166</v>
      </c>
      <c r="C47" s="39"/>
      <c r="D47" s="39"/>
      <c r="E47" s="39"/>
      <c r="F47" s="39">
        <v>5</v>
      </c>
      <c r="G47" s="39">
        <f t="shared" si="9"/>
        <v>5</v>
      </c>
      <c r="H47" s="53" t="s">
        <v>130</v>
      </c>
      <c r="I47" s="177"/>
      <c r="J47" s="176"/>
      <c r="K47" s="104"/>
      <c r="L47" s="234"/>
      <c r="M47" s="254"/>
      <c r="N47" s="234"/>
      <c r="O47" s="234"/>
      <c r="P47" s="234"/>
      <c r="Q47" s="234"/>
      <c r="R47" s="234"/>
      <c r="S47" s="234"/>
    </row>
    <row r="48" s="190" customFormat="1" ht="38" customHeight="1" spans="1:19">
      <c r="A48" s="93">
        <v>23</v>
      </c>
      <c r="B48" s="37" t="s">
        <v>167</v>
      </c>
      <c r="C48" s="39"/>
      <c r="D48" s="39"/>
      <c r="E48" s="39"/>
      <c r="F48" s="39">
        <f t="shared" si="12"/>
        <v>1.1470282388</v>
      </c>
      <c r="G48" s="39">
        <f t="shared" si="9"/>
        <v>1.1470282388</v>
      </c>
      <c r="H48" s="53" t="s">
        <v>152</v>
      </c>
      <c r="I48" s="175">
        <f>I41</f>
        <v>5735.141194</v>
      </c>
      <c r="J48" s="239">
        <v>2</v>
      </c>
      <c r="K48" s="104"/>
      <c r="L48" s="234"/>
      <c r="M48" s="254"/>
      <c r="N48" s="234"/>
      <c r="O48" s="234"/>
      <c r="P48" s="234"/>
      <c r="Q48" s="234"/>
      <c r="R48" s="234"/>
      <c r="S48" s="234"/>
    </row>
    <row r="49" s="190" customFormat="1" ht="38" customHeight="1" spans="1:19">
      <c r="A49" s="93">
        <v>24</v>
      </c>
      <c r="B49" s="37" t="s">
        <v>168</v>
      </c>
      <c r="C49" s="39"/>
      <c r="D49" s="39"/>
      <c r="E49" s="39"/>
      <c r="F49" s="39">
        <v>5</v>
      </c>
      <c r="G49" s="39">
        <f t="shared" si="9"/>
        <v>5</v>
      </c>
      <c r="H49" s="53"/>
      <c r="I49" s="175"/>
      <c r="J49" s="239"/>
      <c r="K49" s="104"/>
      <c r="L49" s="234"/>
      <c r="M49" s="254"/>
      <c r="N49" s="234"/>
      <c r="O49" s="234"/>
      <c r="P49" s="234"/>
      <c r="Q49" s="234"/>
      <c r="R49" s="234"/>
      <c r="S49" s="234"/>
    </row>
    <row r="50" s="192" customFormat="1" ht="38" customHeight="1" spans="1:19">
      <c r="A50" s="163" t="s">
        <v>19</v>
      </c>
      <c r="B50" s="164" t="s">
        <v>25</v>
      </c>
      <c r="C50" s="165"/>
      <c r="D50" s="165"/>
      <c r="E50" s="165"/>
      <c r="F50" s="165">
        <f>I50*J50</f>
        <v>188.107520339094</v>
      </c>
      <c r="G50" s="165">
        <f t="shared" si="9"/>
        <v>188.107520339094</v>
      </c>
      <c r="H50" s="168" t="s">
        <v>130</v>
      </c>
      <c r="I50" s="165">
        <f>G25+G5</f>
        <v>6270.25067796979</v>
      </c>
      <c r="J50" s="240">
        <v>0.03</v>
      </c>
      <c r="K50" s="241">
        <f>G50/G51</f>
        <v>0.029126213592233</v>
      </c>
      <c r="L50" s="188"/>
      <c r="M50" s="188"/>
      <c r="N50" s="188"/>
      <c r="O50" s="188"/>
      <c r="P50" s="188"/>
      <c r="Q50" s="188"/>
      <c r="R50" s="188"/>
      <c r="S50" s="188"/>
    </row>
    <row r="51" s="192" customFormat="1" ht="38" customHeight="1" spans="1:19">
      <c r="A51" s="216" t="s">
        <v>21</v>
      </c>
      <c r="B51" s="217" t="s">
        <v>22</v>
      </c>
      <c r="C51" s="218">
        <f>C5</f>
        <v>4434.546465</v>
      </c>
      <c r="D51" s="218">
        <f t="shared" ref="D51:I51" si="13">D5</f>
        <v>120</v>
      </c>
      <c r="E51" s="224">
        <f t="shared" si="13"/>
        <v>1180.594729</v>
      </c>
      <c r="F51" s="218">
        <f>F25+F50</f>
        <v>723.217004308884</v>
      </c>
      <c r="G51" s="218">
        <f>G5+G25+G50</f>
        <v>6458.35819830888</v>
      </c>
      <c r="H51" s="225" t="s">
        <v>152</v>
      </c>
      <c r="I51" s="242">
        <f t="shared" si="13"/>
        <v>10300</v>
      </c>
      <c r="J51" s="242">
        <f>G51/I51*10000</f>
        <v>6270.25067796979</v>
      </c>
      <c r="K51" s="243">
        <f>K5+K25+K50</f>
        <v>1</v>
      </c>
      <c r="L51" s="188"/>
      <c r="M51" s="188"/>
      <c r="N51" s="188"/>
      <c r="O51" s="188">
        <v>580.44</v>
      </c>
      <c r="P51" s="188">
        <v>928.7</v>
      </c>
      <c r="Q51" s="188"/>
      <c r="R51" s="188"/>
      <c r="S51" s="188"/>
    </row>
    <row r="52" customHeight="1" spans="16:16">
      <c r="P52" s="195">
        <f>P51-O51</f>
        <v>348.26</v>
      </c>
    </row>
    <row r="53" customHeight="1" spans="15:15">
      <c r="O53" s="195">
        <f>19600*500</f>
        <v>9800000</v>
      </c>
    </row>
    <row r="55" customHeight="1" spans="3:8">
      <c r="C55" s="219"/>
      <c r="D55" s="53" t="s">
        <v>169</v>
      </c>
      <c r="E55" s="53" t="s">
        <v>170</v>
      </c>
      <c r="F55" s="226" t="s">
        <v>171</v>
      </c>
      <c r="H55" s="194">
        <v>6458.36</v>
      </c>
    </row>
    <row r="56" customHeight="1" spans="3:8">
      <c r="C56" s="219" t="s">
        <v>172</v>
      </c>
      <c r="D56" s="220">
        <v>5613.7</v>
      </c>
      <c r="E56" s="227">
        <f>G5</f>
        <v>5735.141194</v>
      </c>
      <c r="F56" s="220">
        <f t="shared" ref="F56:F59" si="14">D56-E56</f>
        <v>-121.441194</v>
      </c>
      <c r="H56" s="194">
        <f>G51-H55</f>
        <v>-0.00180169111627038</v>
      </c>
    </row>
    <row r="57" customHeight="1" spans="3:6">
      <c r="C57" s="219" t="s">
        <v>173</v>
      </c>
      <c r="D57" s="220">
        <v>537.86</v>
      </c>
      <c r="E57" s="227">
        <f>G25</f>
        <v>535.10948396979</v>
      </c>
      <c r="F57" s="220">
        <f t="shared" si="14"/>
        <v>2.75051603021018</v>
      </c>
    </row>
    <row r="58" customHeight="1" spans="3:6">
      <c r="C58" s="219" t="s">
        <v>25</v>
      </c>
      <c r="D58" s="220">
        <v>307.58</v>
      </c>
      <c r="E58" s="227">
        <f>G50</f>
        <v>188.107520339094</v>
      </c>
      <c r="F58" s="220">
        <f t="shared" si="14"/>
        <v>119.472479660906</v>
      </c>
    </row>
    <row r="59" customHeight="1" spans="3:11">
      <c r="C59" s="219" t="s">
        <v>22</v>
      </c>
      <c r="D59" s="220">
        <f>SUM(D56:D58)</f>
        <v>6459.14</v>
      </c>
      <c r="E59" s="227">
        <f>SUM(E56:E58)</f>
        <v>6458.35819830888</v>
      </c>
      <c r="F59" s="220">
        <f t="shared" si="14"/>
        <v>0.781801691116016</v>
      </c>
      <c r="K59" s="244"/>
    </row>
    <row r="60" customHeight="1" spans="7:7">
      <c r="G60" s="228"/>
    </row>
    <row r="61" customHeight="1" spans="7:7">
      <c r="G61" s="228"/>
    </row>
    <row r="62" customHeight="1" spans="7:7">
      <c r="G62" s="228">
        <f>F62/D59</f>
        <v>0</v>
      </c>
    </row>
  </sheetData>
  <mergeCells count="6">
    <mergeCell ref="A1:K1"/>
    <mergeCell ref="A2:K2"/>
    <mergeCell ref="C3:G3"/>
    <mergeCell ref="H3:J3"/>
    <mergeCell ref="A3:A4"/>
    <mergeCell ref="B3:B4"/>
  </mergeCells>
  <pageMargins left="0.629861111111111" right="0.747916666666667" top="0.751388888888889" bottom="0.751388888888889" header="0.298611111111111" footer="0.298611111111111"/>
  <pageSetup paperSize="9" scale="55" orientation="landscape" horizontalDpi="600"/>
  <headerFooter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5"/>
  <sheetViews>
    <sheetView zoomScale="70" zoomScaleNormal="70" zoomScaleSheetLayoutView="85" topLeftCell="A8" workbookViewId="0">
      <selection activeCell="G19" sqref="G19:G20"/>
    </sheetView>
  </sheetViews>
  <sheetFormatPr defaultColWidth="10.2666666666667" defaultRowHeight="28" customHeight="1"/>
  <cols>
    <col min="1" max="1" width="11.4571428571429" style="7"/>
    <col min="2" max="2" width="52.2666666666667" style="8" customWidth="1"/>
    <col min="3" max="3" width="20.1809523809524" style="78"/>
    <col min="4" max="4" width="18.5428571428571" style="7"/>
    <col min="5" max="5" width="15.2666666666667" style="8" customWidth="1"/>
    <col min="6" max="6" width="13.5428571428571" style="8" customWidth="1"/>
    <col min="7" max="7" width="17.7238095238095" style="9" customWidth="1"/>
    <col min="8" max="8" width="10.2666666666667" style="7"/>
    <col min="9" max="9" width="20.1809523809524" style="78"/>
    <col min="10" max="10" width="20.2666666666667" style="78"/>
    <col min="11" max="11" width="17.7238095238095" style="8" customWidth="1"/>
    <col min="12" max="12" width="10.2666666666667" style="8"/>
    <col min="13" max="14" width="14.5428571428571" style="8"/>
    <col min="15" max="15" width="42" style="8" customWidth="1"/>
    <col min="16" max="16" width="27.7238095238095" style="8" customWidth="1"/>
    <col min="17" max="17" width="10.4571428571429" style="8"/>
    <col min="18" max="18" width="24.6285714285714" style="8" customWidth="1"/>
    <col min="19" max="19" width="15.5428571428571" style="8" customWidth="1"/>
    <col min="20" max="16384" width="10.2666666666667" style="8"/>
  </cols>
  <sheetData>
    <row r="1" ht="42" customHeight="1" spans="1:11">
      <c r="A1" s="79" t="s">
        <v>174</v>
      </c>
      <c r="B1" s="79"/>
      <c r="C1" s="80"/>
      <c r="D1" s="79"/>
      <c r="E1" s="79"/>
      <c r="F1" s="79"/>
      <c r="G1" s="98"/>
      <c r="H1" s="79"/>
      <c r="I1" s="80"/>
      <c r="J1" s="80"/>
      <c r="K1" s="79"/>
    </row>
    <row r="2" customHeight="1" spans="1:11">
      <c r="A2" s="11" t="s">
        <v>175</v>
      </c>
      <c r="B2" s="11"/>
      <c r="C2" s="81"/>
      <c r="D2" s="11"/>
      <c r="E2" s="11"/>
      <c r="F2" s="11"/>
      <c r="G2" s="45"/>
      <c r="H2" s="11"/>
      <c r="I2" s="81"/>
      <c r="J2" s="81"/>
      <c r="K2" s="11"/>
    </row>
    <row r="3" ht="37.5" spans="1:11">
      <c r="A3" s="12" t="s">
        <v>1</v>
      </c>
      <c r="B3" s="13" t="s">
        <v>113</v>
      </c>
      <c r="C3" s="14" t="s">
        <v>176</v>
      </c>
      <c r="D3" s="14"/>
      <c r="E3" s="14"/>
      <c r="F3" s="14"/>
      <c r="G3" s="46"/>
      <c r="H3" s="14" t="s">
        <v>115</v>
      </c>
      <c r="I3" s="100"/>
      <c r="J3" s="100"/>
      <c r="K3" s="56" t="s">
        <v>116</v>
      </c>
    </row>
    <row r="4" customHeight="1" spans="1:13">
      <c r="A4" s="15"/>
      <c r="B4" s="16"/>
      <c r="C4" s="16" t="s">
        <v>6</v>
      </c>
      <c r="D4" s="16" t="s">
        <v>8</v>
      </c>
      <c r="E4" s="16" t="s">
        <v>7</v>
      </c>
      <c r="F4" s="16" t="s">
        <v>9</v>
      </c>
      <c r="G4" s="47" t="s">
        <v>10</v>
      </c>
      <c r="H4" s="48" t="s">
        <v>11</v>
      </c>
      <c r="I4" s="48" t="s">
        <v>12</v>
      </c>
      <c r="J4" s="16" t="s">
        <v>117</v>
      </c>
      <c r="K4" s="57"/>
      <c r="M4" s="8">
        <f>4500-3200</f>
        <v>1300</v>
      </c>
    </row>
    <row r="5" s="1" customFormat="1" customHeight="1" spans="1:11">
      <c r="A5" s="17" t="s">
        <v>14</v>
      </c>
      <c r="B5" s="18" t="s">
        <v>15</v>
      </c>
      <c r="C5" s="20">
        <f t="shared" ref="C5:G5" si="0">C6+C16</f>
        <v>5836.51988</v>
      </c>
      <c r="D5" s="20">
        <f t="shared" si="0"/>
        <v>981.103972</v>
      </c>
      <c r="E5" s="20">
        <f t="shared" si="0"/>
        <v>1017.031948</v>
      </c>
      <c r="F5" s="20"/>
      <c r="G5" s="20">
        <f t="shared" si="0"/>
        <v>7834.6558</v>
      </c>
      <c r="H5" s="48" t="s">
        <v>16</v>
      </c>
      <c r="I5" s="20">
        <v>12134.97</v>
      </c>
      <c r="J5" s="20"/>
      <c r="K5" s="58">
        <f>G5/G59</f>
        <v>0.864709402364038</v>
      </c>
    </row>
    <row r="6" s="74" customFormat="1" customHeight="1" spans="1:16">
      <c r="A6" s="82" t="s">
        <v>118</v>
      </c>
      <c r="B6" s="83" t="s">
        <v>177</v>
      </c>
      <c r="C6" s="20">
        <f t="shared" ref="C6:G6" si="1">SUM(C7:C15)</f>
        <v>5460.7365</v>
      </c>
      <c r="D6" s="20">
        <f t="shared" si="1"/>
        <v>820.323972</v>
      </c>
      <c r="E6" s="20">
        <f t="shared" si="1"/>
        <v>947.031948</v>
      </c>
      <c r="F6" s="20"/>
      <c r="G6" s="20">
        <f t="shared" si="1"/>
        <v>7228.09242</v>
      </c>
      <c r="H6" s="48" t="s">
        <v>16</v>
      </c>
      <c r="I6" s="20">
        <v>12134.97</v>
      </c>
      <c r="J6" s="169">
        <f>G6/I6*10000</f>
        <v>5956.41556592229</v>
      </c>
      <c r="K6" s="101"/>
      <c r="N6" s="179" t="s">
        <v>178</v>
      </c>
      <c r="O6" s="179">
        <f>12134.97*300</f>
        <v>3640491</v>
      </c>
      <c r="P6" s="180"/>
    </row>
    <row r="7" s="2" customFormat="1" ht="33" customHeight="1" spans="1:16">
      <c r="A7" s="84">
        <v>1</v>
      </c>
      <c r="B7" s="85" t="s">
        <v>120</v>
      </c>
      <c r="C7" s="25">
        <f>I7*J7/10000</f>
        <v>5460.7365</v>
      </c>
      <c r="D7" s="25"/>
      <c r="E7" s="25"/>
      <c r="F7" s="49"/>
      <c r="G7" s="25">
        <f t="shared" ref="G7:G15" si="2">SUM(C7:F7)</f>
        <v>5460.7365</v>
      </c>
      <c r="H7" s="48" t="s">
        <v>16</v>
      </c>
      <c r="I7" s="25">
        <v>12134.97</v>
      </c>
      <c r="J7" s="170">
        <v>4500</v>
      </c>
      <c r="K7" s="59"/>
      <c r="N7" s="7" t="s">
        <v>179</v>
      </c>
      <c r="O7" s="7"/>
      <c r="P7" s="181"/>
    </row>
    <row r="8" s="2" customFormat="1" customHeight="1" spans="1:16">
      <c r="A8" s="84">
        <v>2</v>
      </c>
      <c r="B8" s="86" t="s">
        <v>180</v>
      </c>
      <c r="C8" s="25"/>
      <c r="D8" s="25">
        <f>I8*J8/10000*0.6</f>
        <v>203.867496</v>
      </c>
      <c r="E8" s="25">
        <f>I8*J8/10000*0.4</f>
        <v>135.911664</v>
      </c>
      <c r="F8" s="49"/>
      <c r="G8" s="25">
        <f t="shared" si="2"/>
        <v>339.77916</v>
      </c>
      <c r="H8" s="48" t="s">
        <v>16</v>
      </c>
      <c r="I8" s="25">
        <f>I6</f>
        <v>12134.97</v>
      </c>
      <c r="J8" s="170">
        <v>280</v>
      </c>
      <c r="K8" s="59"/>
      <c r="M8" s="2">
        <f>G7+G8+G9+G10+G12+G15</f>
        <v>6647.69362</v>
      </c>
      <c r="N8" s="7"/>
      <c r="O8" s="7"/>
      <c r="P8" s="7"/>
    </row>
    <row r="9" s="2" customFormat="1" customHeight="1" spans="1:18">
      <c r="A9" s="84">
        <v>3</v>
      </c>
      <c r="B9" s="87" t="s">
        <v>181</v>
      </c>
      <c r="C9" s="25"/>
      <c r="D9" s="25">
        <f>I9*J9/10000*0.7</f>
        <v>271.823328</v>
      </c>
      <c r="E9" s="25">
        <f>I9*J9/10000*0.3</f>
        <v>116.495712</v>
      </c>
      <c r="F9" s="49"/>
      <c r="G9" s="25">
        <f t="shared" si="2"/>
        <v>388.31904</v>
      </c>
      <c r="H9" s="48" t="s">
        <v>16</v>
      </c>
      <c r="I9" s="25">
        <f>I8</f>
        <v>12134.97</v>
      </c>
      <c r="J9" s="170">
        <v>320</v>
      </c>
      <c r="K9" s="59"/>
      <c r="M9" s="2">
        <f>M8/I7*10000</f>
        <v>5478.12942265205</v>
      </c>
      <c r="O9" s="109"/>
      <c r="P9" s="86"/>
      <c r="Q9" s="86"/>
      <c r="R9" s="86"/>
    </row>
    <row r="10" s="2" customFormat="1" customHeight="1" spans="1:18">
      <c r="A10" s="84">
        <v>4</v>
      </c>
      <c r="B10" s="86" t="s">
        <v>182</v>
      </c>
      <c r="C10" s="25"/>
      <c r="D10" s="25">
        <f>I10*J10/10000*0.3</f>
        <v>101.933748</v>
      </c>
      <c r="E10" s="25">
        <f>I10*J10/10000*0.7</f>
        <v>237.845412</v>
      </c>
      <c r="F10" s="49"/>
      <c r="G10" s="25">
        <f t="shared" si="2"/>
        <v>339.77916</v>
      </c>
      <c r="H10" s="48" t="s">
        <v>16</v>
      </c>
      <c r="I10" s="25">
        <f>I9</f>
        <v>12134.97</v>
      </c>
      <c r="J10" s="170">
        <v>280</v>
      </c>
      <c r="K10" s="59"/>
      <c r="O10" s="110"/>
      <c r="P10" s="86"/>
      <c r="Q10" s="86"/>
      <c r="R10" s="86"/>
    </row>
    <row r="11" s="2" customFormat="1" customHeight="1" spans="1:18">
      <c r="A11" s="84">
        <v>5</v>
      </c>
      <c r="B11" s="86" t="s">
        <v>183</v>
      </c>
      <c r="C11" s="25"/>
      <c r="D11" s="25">
        <f>I11*J11*0.3/10000</f>
        <v>145.61964</v>
      </c>
      <c r="E11" s="25">
        <f>I11*J11/10000*0.7</f>
        <v>339.77916</v>
      </c>
      <c r="F11" s="49"/>
      <c r="G11" s="25">
        <f t="shared" si="2"/>
        <v>485.3988</v>
      </c>
      <c r="H11" s="48" t="s">
        <v>16</v>
      </c>
      <c r="I11" s="25">
        <f>I6</f>
        <v>12134.97</v>
      </c>
      <c r="J11" s="170">
        <v>400</v>
      </c>
      <c r="K11" s="59"/>
      <c r="O11" s="110"/>
      <c r="P11" s="86"/>
      <c r="Q11" s="86"/>
      <c r="R11" s="86"/>
    </row>
    <row r="12" s="2" customFormat="1" customHeight="1" spans="1:18">
      <c r="A12" s="84">
        <v>6</v>
      </c>
      <c r="B12" s="86" t="s">
        <v>184</v>
      </c>
      <c r="C12" s="25"/>
      <c r="D12" s="25">
        <f>I12*J12/10000</f>
        <v>97.07976</v>
      </c>
      <c r="E12" s="25"/>
      <c r="F12" s="49"/>
      <c r="G12" s="25">
        <f t="shared" si="2"/>
        <v>97.07976</v>
      </c>
      <c r="H12" s="48" t="s">
        <v>16</v>
      </c>
      <c r="I12" s="25">
        <f>I10</f>
        <v>12134.97</v>
      </c>
      <c r="J12" s="170">
        <v>80</v>
      </c>
      <c r="K12" s="59"/>
      <c r="O12" s="110"/>
      <c r="P12" s="86"/>
      <c r="Q12" s="86"/>
      <c r="R12" s="86"/>
    </row>
    <row r="13" s="4" customFormat="1" customHeight="1" spans="1:18">
      <c r="A13" s="84">
        <v>7</v>
      </c>
      <c r="B13" s="86" t="s">
        <v>185</v>
      </c>
      <c r="C13" s="25"/>
      <c r="D13" s="25"/>
      <c r="E13" s="25">
        <f t="shared" ref="E13:E15" si="3">I13*J13/10000</f>
        <v>35</v>
      </c>
      <c r="F13" s="49"/>
      <c r="G13" s="25">
        <f t="shared" si="2"/>
        <v>35</v>
      </c>
      <c r="H13" s="48" t="s">
        <v>127</v>
      </c>
      <c r="I13" s="25">
        <v>1</v>
      </c>
      <c r="J13" s="170">
        <v>350000</v>
      </c>
      <c r="K13" s="59"/>
      <c r="O13" s="110"/>
      <c r="P13" s="86"/>
      <c r="Q13" s="86"/>
      <c r="R13" s="86"/>
    </row>
    <row r="14" s="4" customFormat="1" customHeight="1" spans="1:18">
      <c r="A14" s="84">
        <v>8</v>
      </c>
      <c r="B14" s="86" t="s">
        <v>186</v>
      </c>
      <c r="C14" s="25"/>
      <c r="D14" s="25"/>
      <c r="E14" s="25">
        <f t="shared" si="3"/>
        <v>60</v>
      </c>
      <c r="F14" s="49"/>
      <c r="G14" s="25">
        <f t="shared" si="2"/>
        <v>60</v>
      </c>
      <c r="H14" s="48" t="s">
        <v>127</v>
      </c>
      <c r="I14" s="25">
        <v>2</v>
      </c>
      <c r="J14" s="170">
        <v>300000</v>
      </c>
      <c r="K14" s="59"/>
      <c r="O14" s="110"/>
      <c r="P14" s="86"/>
      <c r="Q14" s="86"/>
      <c r="R14" s="86"/>
    </row>
    <row r="15" s="156" customFormat="1" customHeight="1" spans="1:18">
      <c r="A15" s="84">
        <v>9</v>
      </c>
      <c r="B15" s="3" t="s">
        <v>187</v>
      </c>
      <c r="C15" s="39"/>
      <c r="D15" s="39"/>
      <c r="E15" s="39">
        <f t="shared" si="3"/>
        <v>22</v>
      </c>
      <c r="F15" s="126"/>
      <c r="G15" s="39">
        <f t="shared" si="2"/>
        <v>22</v>
      </c>
      <c r="H15" s="53" t="s">
        <v>188</v>
      </c>
      <c r="I15" s="39">
        <v>55</v>
      </c>
      <c r="J15" s="171">
        <v>4000</v>
      </c>
      <c r="K15" s="66"/>
      <c r="O15" s="182"/>
      <c r="P15" s="3"/>
      <c r="Q15" s="3"/>
      <c r="R15" s="3"/>
    </row>
    <row r="16" s="5" customFormat="1" customHeight="1" spans="1:14">
      <c r="A16" s="21" t="s">
        <v>128</v>
      </c>
      <c r="B16" s="88" t="s">
        <v>129</v>
      </c>
      <c r="C16" s="20">
        <f t="shared" ref="C16:G16" si="4">C17+C18+C19+C20+C21+C22+C30+C34</f>
        <v>375.78338</v>
      </c>
      <c r="D16" s="20">
        <f t="shared" si="4"/>
        <v>160.78</v>
      </c>
      <c r="E16" s="20">
        <f t="shared" si="4"/>
        <v>70</v>
      </c>
      <c r="F16" s="20"/>
      <c r="G16" s="20">
        <f t="shared" si="4"/>
        <v>606.56338</v>
      </c>
      <c r="H16" s="52" t="s">
        <v>130</v>
      </c>
      <c r="I16" s="20"/>
      <c r="J16" s="169"/>
      <c r="K16" s="102"/>
      <c r="N16" s="5">
        <f>J8+J9+J10</f>
        <v>880</v>
      </c>
    </row>
    <row r="17" s="75" customFormat="1" customHeight="1" spans="1:11">
      <c r="A17" s="21">
        <v>1</v>
      </c>
      <c r="B17" s="88" t="s">
        <v>189</v>
      </c>
      <c r="C17" s="20">
        <f t="shared" ref="C17:C21" si="5">I17*J17/10000</f>
        <v>67.635</v>
      </c>
      <c r="D17" s="20"/>
      <c r="E17" s="20"/>
      <c r="F17" s="20"/>
      <c r="G17" s="20">
        <f t="shared" ref="G17:G19" si="6">SUM(C17:F17)</f>
        <v>67.635</v>
      </c>
      <c r="H17" s="52" t="s">
        <v>63</v>
      </c>
      <c r="I17" s="20">
        <v>15030</v>
      </c>
      <c r="J17" s="169">
        <v>45</v>
      </c>
      <c r="K17" s="102"/>
    </row>
    <row r="18" s="75" customFormat="1" customHeight="1" spans="1:11">
      <c r="A18" s="21">
        <v>2</v>
      </c>
      <c r="B18" s="22" t="s">
        <v>190</v>
      </c>
      <c r="C18" s="159">
        <f t="shared" si="5"/>
        <v>164.60268</v>
      </c>
      <c r="D18" s="22"/>
      <c r="E18" s="22"/>
      <c r="F18" s="22"/>
      <c r="G18" s="159">
        <f t="shared" si="6"/>
        <v>164.60268</v>
      </c>
      <c r="H18" s="166" t="s">
        <v>16</v>
      </c>
      <c r="I18" s="159">
        <v>7481.94</v>
      </c>
      <c r="J18" s="172">
        <v>220</v>
      </c>
      <c r="K18" s="102"/>
    </row>
    <row r="19" s="157" customFormat="1" customHeight="1" spans="1:19">
      <c r="A19" s="160">
        <v>3</v>
      </c>
      <c r="B19" s="161" t="s">
        <v>191</v>
      </c>
      <c r="C19" s="159">
        <f t="shared" si="5"/>
        <v>70.98</v>
      </c>
      <c r="D19" s="22"/>
      <c r="E19" s="22"/>
      <c r="F19" s="22"/>
      <c r="G19" s="159">
        <f t="shared" si="6"/>
        <v>70.98</v>
      </c>
      <c r="H19" s="166" t="s">
        <v>16</v>
      </c>
      <c r="I19" s="159">
        <v>2730</v>
      </c>
      <c r="J19" s="172">
        <v>260</v>
      </c>
      <c r="K19" s="173"/>
      <c r="O19" s="183"/>
      <c r="P19" s="161"/>
      <c r="Q19" s="161"/>
      <c r="R19" s="161"/>
      <c r="S19" s="161"/>
    </row>
    <row r="20" s="157" customFormat="1" customHeight="1" spans="1:19">
      <c r="A20" s="160">
        <v>4</v>
      </c>
      <c r="B20" s="161" t="s">
        <v>192</v>
      </c>
      <c r="C20" s="159">
        <f t="shared" si="5"/>
        <v>11.592</v>
      </c>
      <c r="D20" s="22"/>
      <c r="E20" s="22"/>
      <c r="F20" s="22"/>
      <c r="G20" s="159">
        <f>C20</f>
        <v>11.592</v>
      </c>
      <c r="H20" s="166" t="s">
        <v>16</v>
      </c>
      <c r="I20" s="159">
        <v>504</v>
      </c>
      <c r="J20" s="172">
        <v>230</v>
      </c>
      <c r="K20" s="173"/>
      <c r="O20" s="184"/>
      <c r="P20" s="161"/>
      <c r="Q20" s="161"/>
      <c r="R20" s="161"/>
      <c r="S20" s="161"/>
    </row>
    <row r="21" s="75" customFormat="1" customHeight="1" spans="1:19">
      <c r="A21" s="21">
        <v>5</v>
      </c>
      <c r="B21" s="22" t="s">
        <v>134</v>
      </c>
      <c r="C21" s="159">
        <f t="shared" si="5"/>
        <v>21.1737</v>
      </c>
      <c r="D21" s="20"/>
      <c r="E21" s="20"/>
      <c r="F21" s="95"/>
      <c r="G21" s="20">
        <f t="shared" ref="G21:G38" si="7">SUM(C21:F21)</f>
        <v>21.1737</v>
      </c>
      <c r="H21" s="52" t="s">
        <v>16</v>
      </c>
      <c r="I21" s="159">
        <v>1411.58</v>
      </c>
      <c r="J21" s="172">
        <v>150</v>
      </c>
      <c r="K21" s="102"/>
      <c r="O21" s="112"/>
      <c r="P21" s="113"/>
      <c r="Q21" s="113"/>
      <c r="R21" s="113"/>
      <c r="S21" s="113"/>
    </row>
    <row r="22" s="75" customFormat="1" ht="37" customHeight="1" spans="1:19">
      <c r="A22" s="21">
        <v>6</v>
      </c>
      <c r="B22" s="161" t="s">
        <v>193</v>
      </c>
      <c r="C22" s="105">
        <f t="shared" ref="C22:G22" si="8">SUM(C23:C29)</f>
        <v>30.8</v>
      </c>
      <c r="D22" s="105">
        <f t="shared" si="8"/>
        <v>36.78</v>
      </c>
      <c r="E22" s="105"/>
      <c r="F22" s="105"/>
      <c r="G22" s="105">
        <f t="shared" si="8"/>
        <v>67.58</v>
      </c>
      <c r="H22" s="52" t="s">
        <v>16</v>
      </c>
      <c r="I22" s="105">
        <f>I12</f>
        <v>12134.97</v>
      </c>
      <c r="J22" s="174">
        <f>G22/I22*10000</f>
        <v>55.690290128447</v>
      </c>
      <c r="K22" s="102"/>
      <c r="O22" s="112"/>
      <c r="P22" s="113"/>
      <c r="Q22" s="113"/>
      <c r="R22" s="113"/>
      <c r="S22" s="113"/>
    </row>
    <row r="23" s="157" customFormat="1" ht="37" customHeight="1" spans="1:19">
      <c r="A23" s="162">
        <v>6.1</v>
      </c>
      <c r="B23" s="3" t="s">
        <v>194</v>
      </c>
      <c r="C23" s="29"/>
      <c r="D23" s="30">
        <f t="shared" ref="D23:D27" si="9">I23*J23/10000</f>
        <v>9.6</v>
      </c>
      <c r="E23" s="165"/>
      <c r="F23" s="167"/>
      <c r="G23" s="30">
        <f t="shared" si="7"/>
        <v>9.6</v>
      </c>
      <c r="H23" s="53" t="s">
        <v>65</v>
      </c>
      <c r="I23" s="29">
        <v>300</v>
      </c>
      <c r="J23" s="171">
        <v>320</v>
      </c>
      <c r="K23" s="173"/>
      <c r="O23" s="185"/>
      <c r="P23" s="186"/>
      <c r="Q23" s="186"/>
      <c r="R23" s="186"/>
      <c r="S23" s="186"/>
    </row>
    <row r="24" s="157" customFormat="1" ht="37" customHeight="1" spans="1:19">
      <c r="A24" s="162">
        <v>6.2</v>
      </c>
      <c r="B24" s="3" t="s">
        <v>195</v>
      </c>
      <c r="C24" s="29"/>
      <c r="D24" s="30">
        <f t="shared" si="9"/>
        <v>24</v>
      </c>
      <c r="E24" s="165"/>
      <c r="F24" s="167"/>
      <c r="G24" s="30">
        <f t="shared" si="7"/>
        <v>24</v>
      </c>
      <c r="H24" s="53" t="s">
        <v>65</v>
      </c>
      <c r="I24" s="29">
        <v>800</v>
      </c>
      <c r="J24" s="171">
        <v>300</v>
      </c>
      <c r="K24" s="173"/>
      <c r="O24" s="185"/>
      <c r="P24" s="186"/>
      <c r="Q24" s="186"/>
      <c r="R24" s="186"/>
      <c r="S24" s="186"/>
    </row>
    <row r="25" s="157" customFormat="1" ht="37" customHeight="1" spans="1:19">
      <c r="A25" s="162">
        <v>6.3</v>
      </c>
      <c r="B25" s="3" t="s">
        <v>196</v>
      </c>
      <c r="C25" s="29"/>
      <c r="D25" s="30">
        <f t="shared" si="9"/>
        <v>0.3</v>
      </c>
      <c r="E25" s="165"/>
      <c r="F25" s="167"/>
      <c r="G25" s="30">
        <f t="shared" si="7"/>
        <v>0.3</v>
      </c>
      <c r="H25" s="53" t="s">
        <v>197</v>
      </c>
      <c r="I25" s="29">
        <v>2</v>
      </c>
      <c r="J25" s="171">
        <v>1500</v>
      </c>
      <c r="K25" s="173"/>
      <c r="O25" s="185"/>
      <c r="P25" s="186"/>
      <c r="Q25" s="186"/>
      <c r="R25" s="186"/>
      <c r="S25" s="186"/>
    </row>
    <row r="26" s="157" customFormat="1" ht="37" customHeight="1" spans="1:19">
      <c r="A26" s="162">
        <v>6.4</v>
      </c>
      <c r="B26" s="3" t="s">
        <v>198</v>
      </c>
      <c r="C26" s="29"/>
      <c r="D26" s="30">
        <f t="shared" si="9"/>
        <v>1.2</v>
      </c>
      <c r="E26" s="165"/>
      <c r="F26" s="167"/>
      <c r="G26" s="30">
        <f t="shared" si="7"/>
        <v>1.2</v>
      </c>
      <c r="H26" s="53" t="s">
        <v>199</v>
      </c>
      <c r="I26" s="29">
        <v>1</v>
      </c>
      <c r="J26" s="171">
        <v>12000</v>
      </c>
      <c r="K26" s="173"/>
      <c r="O26" s="185"/>
      <c r="P26" s="186"/>
      <c r="Q26" s="186"/>
      <c r="R26" s="186"/>
      <c r="S26" s="186"/>
    </row>
    <row r="27" s="157" customFormat="1" ht="37" customHeight="1" spans="1:19">
      <c r="A27" s="162">
        <v>6.5</v>
      </c>
      <c r="B27" s="3" t="s">
        <v>200</v>
      </c>
      <c r="C27" s="29"/>
      <c r="D27" s="30">
        <f t="shared" si="9"/>
        <v>1.68</v>
      </c>
      <c r="E27" s="165"/>
      <c r="F27" s="167"/>
      <c r="G27" s="30">
        <f t="shared" si="7"/>
        <v>1.68</v>
      </c>
      <c r="H27" s="53" t="s">
        <v>199</v>
      </c>
      <c r="I27" s="29">
        <v>12</v>
      </c>
      <c r="J27" s="171">
        <v>1400</v>
      </c>
      <c r="K27" s="173"/>
      <c r="O27" s="185"/>
      <c r="P27" s="186"/>
      <c r="Q27" s="186"/>
      <c r="R27" s="186"/>
      <c r="S27" s="186"/>
    </row>
    <row r="28" s="157" customFormat="1" ht="37" customHeight="1" spans="1:19">
      <c r="A28" s="162">
        <v>6.6</v>
      </c>
      <c r="B28" s="3" t="s">
        <v>201</v>
      </c>
      <c r="C28" s="29">
        <f t="shared" ref="C28:C33" si="10">I28*J28/10000</f>
        <v>18</v>
      </c>
      <c r="D28" s="30"/>
      <c r="E28" s="165"/>
      <c r="F28" s="167"/>
      <c r="G28" s="30">
        <f t="shared" si="7"/>
        <v>18</v>
      </c>
      <c r="H28" s="53" t="s">
        <v>199</v>
      </c>
      <c r="I28" s="29">
        <v>1</v>
      </c>
      <c r="J28" s="171">
        <v>180000</v>
      </c>
      <c r="K28" s="173"/>
      <c r="O28" s="185"/>
      <c r="P28" s="186"/>
      <c r="Q28" s="186"/>
      <c r="R28" s="186"/>
      <c r="S28" s="186"/>
    </row>
    <row r="29" s="157" customFormat="1" ht="37" customHeight="1" spans="1:19">
      <c r="A29" s="162">
        <v>6.7</v>
      </c>
      <c r="B29" s="3" t="s">
        <v>202</v>
      </c>
      <c r="C29" s="29">
        <f t="shared" si="10"/>
        <v>12.8</v>
      </c>
      <c r="D29" s="30"/>
      <c r="E29" s="165"/>
      <c r="F29" s="167"/>
      <c r="G29" s="30">
        <f t="shared" si="7"/>
        <v>12.8</v>
      </c>
      <c r="H29" s="53" t="s">
        <v>199</v>
      </c>
      <c r="I29" s="29">
        <v>16</v>
      </c>
      <c r="J29" s="171">
        <v>8000</v>
      </c>
      <c r="K29" s="173"/>
      <c r="O29" s="185"/>
      <c r="P29" s="186"/>
      <c r="Q29" s="186"/>
      <c r="R29" s="186"/>
      <c r="S29" s="186"/>
    </row>
    <row r="30" s="157" customFormat="1" customHeight="1" spans="1:19">
      <c r="A30" s="160">
        <v>7</v>
      </c>
      <c r="B30" s="161" t="s">
        <v>203</v>
      </c>
      <c r="C30" s="105">
        <f>SUM(C31:C33)</f>
        <v>4.2</v>
      </c>
      <c r="D30" s="159">
        <f>SUM(D31:D33)</f>
        <v>24</v>
      </c>
      <c r="E30" s="165"/>
      <c r="F30" s="167"/>
      <c r="G30" s="165">
        <f t="shared" si="7"/>
        <v>28.2</v>
      </c>
      <c r="H30" s="168" t="s">
        <v>16</v>
      </c>
      <c r="I30" s="105">
        <f>I12</f>
        <v>12134.97</v>
      </c>
      <c r="J30" s="174">
        <f>G30/I30*10000</f>
        <v>23.2386235812697</v>
      </c>
      <c r="K30" s="173"/>
      <c r="O30" s="185"/>
      <c r="P30" s="186"/>
      <c r="Q30" s="186"/>
      <c r="R30" s="186"/>
      <c r="S30" s="186"/>
    </row>
    <row r="31" s="157" customFormat="1" customHeight="1" spans="1:19">
      <c r="A31" s="125">
        <v>7.1</v>
      </c>
      <c r="B31" s="3" t="s">
        <v>204</v>
      </c>
      <c r="C31" s="29"/>
      <c r="D31" s="30">
        <f>I31*J31/10000</f>
        <v>24</v>
      </c>
      <c r="E31" s="165"/>
      <c r="F31" s="167"/>
      <c r="G31" s="39">
        <f t="shared" si="7"/>
        <v>24</v>
      </c>
      <c r="H31" s="53" t="s">
        <v>65</v>
      </c>
      <c r="I31" s="29">
        <v>300</v>
      </c>
      <c r="J31" s="171">
        <v>800</v>
      </c>
      <c r="K31" s="173"/>
      <c r="O31" s="185"/>
      <c r="P31" s="186"/>
      <c r="Q31" s="186"/>
      <c r="R31" s="186"/>
      <c r="S31" s="186"/>
    </row>
    <row r="32" s="157" customFormat="1" customHeight="1" spans="1:19">
      <c r="A32" s="125">
        <v>7.2</v>
      </c>
      <c r="B32" s="3" t="s">
        <v>205</v>
      </c>
      <c r="C32" s="29">
        <f t="shared" si="10"/>
        <v>2.4</v>
      </c>
      <c r="D32" s="30"/>
      <c r="E32" s="165"/>
      <c r="F32" s="167"/>
      <c r="G32" s="39">
        <f t="shared" si="7"/>
        <v>2.4</v>
      </c>
      <c r="H32" s="53" t="s">
        <v>199</v>
      </c>
      <c r="I32" s="29">
        <v>2</v>
      </c>
      <c r="J32" s="171">
        <v>12000</v>
      </c>
      <c r="K32" s="173"/>
      <c r="O32" s="185"/>
      <c r="P32" s="186"/>
      <c r="Q32" s="186"/>
      <c r="R32" s="186"/>
      <c r="S32" s="186"/>
    </row>
    <row r="33" s="157" customFormat="1" customHeight="1" spans="1:19">
      <c r="A33" s="125">
        <v>7.3</v>
      </c>
      <c r="B33" s="3" t="s">
        <v>206</v>
      </c>
      <c r="C33" s="29">
        <f t="shared" si="10"/>
        <v>1.8</v>
      </c>
      <c r="D33" s="30"/>
      <c r="E33" s="165"/>
      <c r="F33" s="167"/>
      <c r="G33" s="39">
        <f t="shared" si="7"/>
        <v>1.8</v>
      </c>
      <c r="H33" s="53" t="s">
        <v>199</v>
      </c>
      <c r="I33" s="29">
        <v>1</v>
      </c>
      <c r="J33" s="171">
        <v>18000</v>
      </c>
      <c r="K33" s="173"/>
      <c r="O33" s="185"/>
      <c r="P33" s="186"/>
      <c r="Q33" s="186"/>
      <c r="R33" s="186"/>
      <c r="S33" s="186"/>
    </row>
    <row r="34" s="157" customFormat="1" customHeight="1" spans="1:19">
      <c r="A34" s="160">
        <v>8</v>
      </c>
      <c r="B34" s="161" t="s">
        <v>207</v>
      </c>
      <c r="C34" s="159">
        <f>SUM(C35:C38)</f>
        <v>4.8</v>
      </c>
      <c r="D34" s="159">
        <f>SUM(D35:D38)</f>
        <v>100</v>
      </c>
      <c r="E34" s="159">
        <f>SUM(E35:E38)</f>
        <v>70</v>
      </c>
      <c r="F34" s="159"/>
      <c r="G34" s="165">
        <f t="shared" si="7"/>
        <v>174.8</v>
      </c>
      <c r="H34" s="168" t="s">
        <v>16</v>
      </c>
      <c r="I34" s="105">
        <f>I12</f>
        <v>12134.97</v>
      </c>
      <c r="J34" s="174">
        <f>G34/I34*10000</f>
        <v>144.046503617232</v>
      </c>
      <c r="K34" s="173"/>
      <c r="O34" s="185"/>
      <c r="P34" s="186"/>
      <c r="Q34" s="186"/>
      <c r="R34" s="186"/>
      <c r="S34" s="186"/>
    </row>
    <row r="35" s="157" customFormat="1" customHeight="1" spans="1:19">
      <c r="A35" s="125">
        <v>8.1</v>
      </c>
      <c r="B35" s="3" t="s">
        <v>208</v>
      </c>
      <c r="C35" s="29"/>
      <c r="D35" s="30">
        <f>I35*J35/10000</f>
        <v>90</v>
      </c>
      <c r="E35" s="165"/>
      <c r="F35" s="167"/>
      <c r="G35" s="39">
        <f t="shared" si="7"/>
        <v>90</v>
      </c>
      <c r="H35" s="53" t="s">
        <v>65</v>
      </c>
      <c r="I35" s="29">
        <v>1500</v>
      </c>
      <c r="J35" s="171">
        <v>600</v>
      </c>
      <c r="K35" s="173"/>
      <c r="O35" s="185"/>
      <c r="P35" s="186"/>
      <c r="Q35" s="186"/>
      <c r="R35" s="186"/>
      <c r="S35" s="186"/>
    </row>
    <row r="36" s="157" customFormat="1" customHeight="1" spans="1:19">
      <c r="A36" s="125">
        <v>8.2</v>
      </c>
      <c r="B36" s="3" t="s">
        <v>209</v>
      </c>
      <c r="C36" s="29">
        <f>I36*J36/10000</f>
        <v>4.8</v>
      </c>
      <c r="D36" s="30"/>
      <c r="E36" s="165"/>
      <c r="F36" s="167"/>
      <c r="G36" s="39">
        <f t="shared" si="7"/>
        <v>4.8</v>
      </c>
      <c r="H36" s="53" t="s">
        <v>199</v>
      </c>
      <c r="I36" s="29">
        <v>6</v>
      </c>
      <c r="J36" s="171">
        <v>8000</v>
      </c>
      <c r="K36" s="173"/>
      <c r="O36" s="185"/>
      <c r="P36" s="186"/>
      <c r="Q36" s="186"/>
      <c r="R36" s="186"/>
      <c r="S36" s="186"/>
    </row>
    <row r="37" s="157" customFormat="1" customHeight="1" spans="1:19">
      <c r="A37" s="125">
        <v>8.3</v>
      </c>
      <c r="B37" s="3" t="s">
        <v>210</v>
      </c>
      <c r="C37" s="29"/>
      <c r="D37" s="30">
        <f>I37*J37/10000</f>
        <v>10</v>
      </c>
      <c r="E37" s="165"/>
      <c r="F37" s="167"/>
      <c r="G37" s="39">
        <f t="shared" si="7"/>
        <v>10</v>
      </c>
      <c r="H37" s="53" t="s">
        <v>211</v>
      </c>
      <c r="I37" s="29">
        <v>20</v>
      </c>
      <c r="J37" s="171">
        <v>5000</v>
      </c>
      <c r="K37" s="173"/>
      <c r="O37" s="185"/>
      <c r="P37" s="186"/>
      <c r="Q37" s="186"/>
      <c r="R37" s="186"/>
      <c r="S37" s="186"/>
    </row>
    <row r="38" s="157" customFormat="1" customHeight="1" spans="1:19">
      <c r="A38" s="125">
        <v>8.4</v>
      </c>
      <c r="B38" s="3" t="s">
        <v>212</v>
      </c>
      <c r="C38" s="29"/>
      <c r="D38" s="30"/>
      <c r="E38" s="165">
        <f>I38*J38/10000</f>
        <v>70</v>
      </c>
      <c r="F38" s="167"/>
      <c r="G38" s="39">
        <f t="shared" si="7"/>
        <v>70</v>
      </c>
      <c r="H38" s="53" t="s">
        <v>213</v>
      </c>
      <c r="I38" s="29">
        <v>2</v>
      </c>
      <c r="J38" s="171">
        <v>350000</v>
      </c>
      <c r="K38" s="173"/>
      <c r="O38" s="185"/>
      <c r="P38" s="186"/>
      <c r="Q38" s="186"/>
      <c r="R38" s="186"/>
      <c r="S38" s="186"/>
    </row>
    <row r="39" s="158" customFormat="1" customHeight="1" spans="1:15">
      <c r="A39" s="163" t="s">
        <v>17</v>
      </c>
      <c r="B39" s="164" t="s">
        <v>18</v>
      </c>
      <c r="C39" s="165"/>
      <c r="D39" s="165"/>
      <c r="E39" s="165"/>
      <c r="F39" s="165">
        <f>SUM(F40:F57)</f>
        <v>554.64921518</v>
      </c>
      <c r="G39" s="165">
        <f>SUM(G40:G57)</f>
        <v>554.64921518</v>
      </c>
      <c r="H39" s="168" t="s">
        <v>130</v>
      </c>
      <c r="I39" s="105"/>
      <c r="J39" s="105"/>
      <c r="K39" s="108">
        <f>G39/G59</f>
        <v>0.0612165235618878</v>
      </c>
      <c r="O39" s="187" t="s">
        <v>214</v>
      </c>
    </row>
    <row r="40" s="6" customFormat="1" customHeight="1" spans="1:11">
      <c r="A40" s="93">
        <v>1</v>
      </c>
      <c r="B40" s="37" t="s">
        <v>144</v>
      </c>
      <c r="C40" s="39"/>
      <c r="D40" s="39"/>
      <c r="E40" s="39"/>
      <c r="F40" s="39">
        <f t="shared" ref="F40:F43" si="11">I40*J40</f>
        <v>47.0079348</v>
      </c>
      <c r="G40" s="39">
        <f t="shared" ref="G40:G58" si="12">F40</f>
        <v>47.0079348</v>
      </c>
      <c r="H40" s="53" t="s">
        <v>130</v>
      </c>
      <c r="I40" s="175">
        <f>G5</f>
        <v>7834.6558</v>
      </c>
      <c r="J40" s="65">
        <v>0.006</v>
      </c>
      <c r="K40" s="104"/>
    </row>
    <row r="41" s="6" customFormat="1" customHeight="1" spans="1:11">
      <c r="A41" s="93">
        <v>2</v>
      </c>
      <c r="B41" s="37" t="s">
        <v>146</v>
      </c>
      <c r="C41" s="39"/>
      <c r="D41" s="39"/>
      <c r="E41" s="39"/>
      <c r="F41" s="39">
        <f t="shared" si="11"/>
        <v>78.346558</v>
      </c>
      <c r="G41" s="39">
        <f t="shared" si="12"/>
        <v>78.346558</v>
      </c>
      <c r="H41" s="53" t="s">
        <v>130</v>
      </c>
      <c r="I41" s="175">
        <f>G5</f>
        <v>7834.6558</v>
      </c>
      <c r="J41" s="65">
        <v>0.01</v>
      </c>
      <c r="K41" s="104"/>
    </row>
    <row r="42" s="6" customFormat="1" customHeight="1" spans="1:11">
      <c r="A42" s="93">
        <v>3</v>
      </c>
      <c r="B42" s="37" t="s">
        <v>145</v>
      </c>
      <c r="C42" s="39"/>
      <c r="D42" s="39"/>
      <c r="E42" s="39"/>
      <c r="F42" s="39">
        <f t="shared" si="11"/>
        <v>19.5866395</v>
      </c>
      <c r="G42" s="39">
        <f t="shared" si="12"/>
        <v>19.5866395</v>
      </c>
      <c r="H42" s="53" t="s">
        <v>130</v>
      </c>
      <c r="I42" s="175">
        <f>G5</f>
        <v>7834.6558</v>
      </c>
      <c r="J42" s="65">
        <v>0.0025</v>
      </c>
      <c r="K42" s="104"/>
    </row>
    <row r="43" s="6" customFormat="1" customHeight="1" spans="1:11">
      <c r="A43" s="93">
        <v>4</v>
      </c>
      <c r="B43" s="37" t="s">
        <v>215</v>
      </c>
      <c r="C43" s="39"/>
      <c r="D43" s="39"/>
      <c r="E43" s="39"/>
      <c r="F43" s="39">
        <f t="shared" si="11"/>
        <v>148.8584602</v>
      </c>
      <c r="G43" s="39">
        <f t="shared" si="12"/>
        <v>148.8584602</v>
      </c>
      <c r="H43" s="53" t="s">
        <v>130</v>
      </c>
      <c r="I43" s="175">
        <f>G5</f>
        <v>7834.6558</v>
      </c>
      <c r="J43" s="65">
        <v>0.019</v>
      </c>
      <c r="K43" s="104"/>
    </row>
    <row r="44" s="6" customFormat="1" customHeight="1" spans="1:11">
      <c r="A44" s="93">
        <v>5</v>
      </c>
      <c r="B44" s="37" t="s">
        <v>216</v>
      </c>
      <c r="C44" s="39"/>
      <c r="D44" s="39"/>
      <c r="E44" s="39"/>
      <c r="F44" s="39">
        <f>I44*J44/10000</f>
        <v>4.4899389</v>
      </c>
      <c r="G44" s="39">
        <f t="shared" si="12"/>
        <v>4.4899389</v>
      </c>
      <c r="H44" s="53" t="s">
        <v>152</v>
      </c>
      <c r="I44" s="175">
        <f>I5</f>
        <v>12134.97</v>
      </c>
      <c r="J44" s="176">
        <v>3.7</v>
      </c>
      <c r="K44" s="104"/>
    </row>
    <row r="45" s="6" customFormat="1" customHeight="1" spans="1:11">
      <c r="A45" s="93">
        <v>6</v>
      </c>
      <c r="B45" s="37" t="s">
        <v>217</v>
      </c>
      <c r="C45" s="39"/>
      <c r="D45" s="39"/>
      <c r="E45" s="39"/>
      <c r="F45" s="39">
        <f>I45*J45*0.9</f>
        <v>42.30714132</v>
      </c>
      <c r="G45" s="39">
        <f t="shared" si="12"/>
        <v>42.30714132</v>
      </c>
      <c r="H45" s="53" t="s">
        <v>130</v>
      </c>
      <c r="I45" s="175">
        <f>G5</f>
        <v>7834.6558</v>
      </c>
      <c r="J45" s="65">
        <v>0.006</v>
      </c>
      <c r="K45" s="104"/>
    </row>
    <row r="46" s="6" customFormat="1" customHeight="1" spans="1:11">
      <c r="A46" s="93">
        <v>7</v>
      </c>
      <c r="B46" s="37" t="s">
        <v>148</v>
      </c>
      <c r="C46" s="39"/>
      <c r="D46" s="39"/>
      <c r="E46" s="39"/>
      <c r="F46" s="39">
        <f t="shared" ref="F46:F52" si="13">I46*J46</f>
        <v>40.74021016</v>
      </c>
      <c r="G46" s="39">
        <f t="shared" si="12"/>
        <v>40.74021016</v>
      </c>
      <c r="H46" s="53" t="s">
        <v>130</v>
      </c>
      <c r="I46" s="175">
        <f>G5</f>
        <v>7834.6558</v>
      </c>
      <c r="J46" s="65">
        <v>0.0052</v>
      </c>
      <c r="K46" s="104"/>
    </row>
    <row r="47" s="6" customFormat="1" customHeight="1" spans="1:11">
      <c r="A47" s="93">
        <v>8</v>
      </c>
      <c r="B47" s="37" t="s">
        <v>155</v>
      </c>
      <c r="C47" s="39"/>
      <c r="D47" s="39"/>
      <c r="E47" s="39"/>
      <c r="F47" s="39">
        <f>1+2.8+2.75+14+(I47-5000)*0.002*0.8</f>
        <v>25.08544928</v>
      </c>
      <c r="G47" s="39">
        <f t="shared" si="12"/>
        <v>25.08544928</v>
      </c>
      <c r="H47" s="53" t="s">
        <v>130</v>
      </c>
      <c r="I47" s="175">
        <f>G5</f>
        <v>7834.6558</v>
      </c>
      <c r="J47" s="65">
        <f t="shared" ref="J47:J50" si="14">G47/I47</f>
        <v>0.00320185722517638</v>
      </c>
      <c r="K47" s="104"/>
    </row>
    <row r="48" s="6" customFormat="1" customHeight="1" spans="1:11">
      <c r="A48" s="93">
        <v>9</v>
      </c>
      <c r="B48" s="37" t="s">
        <v>218</v>
      </c>
      <c r="C48" s="39"/>
      <c r="D48" s="39"/>
      <c r="E48" s="39"/>
      <c r="F48" s="39">
        <f t="shared" si="13"/>
        <v>39.173279</v>
      </c>
      <c r="G48" s="39">
        <f t="shared" si="12"/>
        <v>39.173279</v>
      </c>
      <c r="H48" s="53" t="s">
        <v>130</v>
      </c>
      <c r="I48" s="175">
        <f>G5</f>
        <v>7834.6558</v>
      </c>
      <c r="J48" s="65">
        <v>0.005</v>
      </c>
      <c r="K48" s="104"/>
    </row>
    <row r="49" s="6" customFormat="1" customHeight="1" spans="1:11">
      <c r="A49" s="93">
        <v>10</v>
      </c>
      <c r="B49" s="37" t="s">
        <v>219</v>
      </c>
      <c r="C49" s="39"/>
      <c r="D49" s="39"/>
      <c r="E49" s="39"/>
      <c r="F49" s="39">
        <v>22</v>
      </c>
      <c r="G49" s="39">
        <f t="shared" si="12"/>
        <v>22</v>
      </c>
      <c r="H49" s="53" t="s">
        <v>130</v>
      </c>
      <c r="I49" s="175">
        <f>I48</f>
        <v>7834.6558</v>
      </c>
      <c r="J49" s="65">
        <f t="shared" si="14"/>
        <v>0.0028080365700303</v>
      </c>
      <c r="K49" s="104"/>
    </row>
    <row r="50" s="6" customFormat="1" customHeight="1" spans="1:11">
      <c r="A50" s="93">
        <v>11</v>
      </c>
      <c r="B50" s="37" t="s">
        <v>220</v>
      </c>
      <c r="C50" s="39"/>
      <c r="D50" s="39"/>
      <c r="E50" s="39"/>
      <c r="F50" s="39">
        <v>8.5</v>
      </c>
      <c r="G50" s="39">
        <f t="shared" si="12"/>
        <v>8.5</v>
      </c>
      <c r="H50" s="53" t="s">
        <v>130</v>
      </c>
      <c r="I50" s="175">
        <f>I49</f>
        <v>7834.6558</v>
      </c>
      <c r="J50" s="65">
        <f t="shared" si="14"/>
        <v>0.00108492322023898</v>
      </c>
      <c r="K50" s="104"/>
    </row>
    <row r="51" s="6" customFormat="1" customHeight="1" spans="1:11">
      <c r="A51" s="93">
        <v>12</v>
      </c>
      <c r="B51" s="37" t="s">
        <v>221</v>
      </c>
      <c r="C51" s="39"/>
      <c r="D51" s="39"/>
      <c r="E51" s="39"/>
      <c r="F51" s="39">
        <f t="shared" si="13"/>
        <v>23.5039674</v>
      </c>
      <c r="G51" s="39">
        <f t="shared" si="12"/>
        <v>23.5039674</v>
      </c>
      <c r="H51" s="53" t="s">
        <v>130</v>
      </c>
      <c r="I51" s="175">
        <f>G5</f>
        <v>7834.6558</v>
      </c>
      <c r="J51" s="65">
        <v>0.003</v>
      </c>
      <c r="K51" s="104"/>
    </row>
    <row r="52" s="6" customFormat="1" customHeight="1" spans="1:11">
      <c r="A52" s="93">
        <v>13</v>
      </c>
      <c r="B52" s="37" t="s">
        <v>222</v>
      </c>
      <c r="C52" s="39"/>
      <c r="D52" s="39"/>
      <c r="E52" s="39"/>
      <c r="F52" s="39">
        <f t="shared" si="13"/>
        <v>15.6693116</v>
      </c>
      <c r="G52" s="39">
        <f t="shared" si="12"/>
        <v>15.6693116</v>
      </c>
      <c r="H52" s="53" t="s">
        <v>130</v>
      </c>
      <c r="I52" s="175">
        <f>G5</f>
        <v>7834.6558</v>
      </c>
      <c r="J52" s="65">
        <v>0.002</v>
      </c>
      <c r="K52" s="104"/>
    </row>
    <row r="53" s="6" customFormat="1" customHeight="1" spans="1:11">
      <c r="A53" s="93">
        <v>14</v>
      </c>
      <c r="B53" s="37" t="s">
        <v>160</v>
      </c>
      <c r="C53" s="39"/>
      <c r="D53" s="39"/>
      <c r="E53" s="39"/>
      <c r="F53" s="39">
        <f>I53*2/10000</f>
        <v>2.426994</v>
      </c>
      <c r="G53" s="39">
        <f t="shared" si="12"/>
        <v>2.426994</v>
      </c>
      <c r="H53" s="53" t="s">
        <v>152</v>
      </c>
      <c r="I53" s="175">
        <f>I7</f>
        <v>12134.97</v>
      </c>
      <c r="J53" s="29">
        <v>2</v>
      </c>
      <c r="K53" s="104"/>
    </row>
    <row r="54" s="6" customFormat="1" customHeight="1" spans="1:11">
      <c r="A54" s="93">
        <v>15</v>
      </c>
      <c r="B54" s="37" t="s">
        <v>223</v>
      </c>
      <c r="C54" s="39"/>
      <c r="D54" s="39"/>
      <c r="E54" s="39"/>
      <c r="F54" s="39">
        <f t="shared" ref="F54:F57" si="15">I54*J54/10000</f>
        <v>8</v>
      </c>
      <c r="G54" s="39">
        <f t="shared" si="12"/>
        <v>8</v>
      </c>
      <c r="H54" s="53" t="s">
        <v>224</v>
      </c>
      <c r="I54" s="175">
        <v>1</v>
      </c>
      <c r="J54" s="29">
        <v>80000</v>
      </c>
      <c r="K54" s="104"/>
    </row>
    <row r="55" s="6" customFormat="1" customHeight="1" spans="1:11">
      <c r="A55" s="93">
        <v>16</v>
      </c>
      <c r="B55" s="37" t="s">
        <v>161</v>
      </c>
      <c r="C55" s="39"/>
      <c r="D55" s="39"/>
      <c r="E55" s="39"/>
      <c r="F55" s="39">
        <f>I55*J55</f>
        <v>14.88584602</v>
      </c>
      <c r="G55" s="39">
        <f t="shared" si="12"/>
        <v>14.88584602</v>
      </c>
      <c r="H55" s="53" t="s">
        <v>130</v>
      </c>
      <c r="I55" s="175">
        <f>G5</f>
        <v>7834.6558</v>
      </c>
      <c r="J55" s="65">
        <v>0.0019</v>
      </c>
      <c r="K55" s="104"/>
    </row>
    <row r="56" s="6" customFormat="1" customHeight="1" spans="1:11">
      <c r="A56" s="93">
        <v>17</v>
      </c>
      <c r="B56" s="37" t="s">
        <v>225</v>
      </c>
      <c r="C56" s="39"/>
      <c r="D56" s="39"/>
      <c r="E56" s="39"/>
      <c r="F56" s="39">
        <f t="shared" si="15"/>
        <v>8</v>
      </c>
      <c r="G56" s="39">
        <f t="shared" si="12"/>
        <v>8</v>
      </c>
      <c r="H56" s="53" t="s">
        <v>224</v>
      </c>
      <c r="I56" s="177">
        <v>1</v>
      </c>
      <c r="J56" s="176">
        <v>80000</v>
      </c>
      <c r="K56" s="104"/>
    </row>
    <row r="57" s="6" customFormat="1" customHeight="1" spans="1:11">
      <c r="A57" s="93">
        <v>18</v>
      </c>
      <c r="B57" s="37" t="s">
        <v>167</v>
      </c>
      <c r="C57" s="39"/>
      <c r="D57" s="39"/>
      <c r="E57" s="39"/>
      <c r="F57" s="39">
        <f t="shared" si="15"/>
        <v>6.067485</v>
      </c>
      <c r="G57" s="39">
        <f t="shared" si="12"/>
        <v>6.067485</v>
      </c>
      <c r="H57" s="53" t="s">
        <v>152</v>
      </c>
      <c r="I57" s="175">
        <f>I5</f>
        <v>12134.97</v>
      </c>
      <c r="J57" s="176">
        <v>5</v>
      </c>
      <c r="K57" s="104"/>
    </row>
    <row r="58" s="5" customFormat="1" customHeight="1" spans="1:11">
      <c r="A58" s="31" t="s">
        <v>19</v>
      </c>
      <c r="B58" s="40" t="s">
        <v>25</v>
      </c>
      <c r="C58" s="20"/>
      <c r="D58" s="20"/>
      <c r="E58" s="20"/>
      <c r="F58" s="20">
        <f>I58*J58</f>
        <v>671.1444012144</v>
      </c>
      <c r="G58" s="20">
        <f t="shared" si="12"/>
        <v>671.1444012144</v>
      </c>
      <c r="H58" s="52" t="s">
        <v>130</v>
      </c>
      <c r="I58" s="20">
        <f>G39+G5</f>
        <v>8389.30501518</v>
      </c>
      <c r="J58" s="68">
        <v>0.08</v>
      </c>
      <c r="K58" s="121">
        <f>G58/G59</f>
        <v>0.0740740740740741</v>
      </c>
    </row>
    <row r="59" s="5" customFormat="1" customHeight="1" spans="1:11">
      <c r="A59" s="41" t="s">
        <v>21</v>
      </c>
      <c r="B59" s="42" t="s">
        <v>22</v>
      </c>
      <c r="C59" s="54">
        <f>C5</f>
        <v>5836.51988</v>
      </c>
      <c r="D59" s="43">
        <f>D5</f>
        <v>981.103972</v>
      </c>
      <c r="E59" s="54"/>
      <c r="F59" s="54">
        <f>F39+F58</f>
        <v>1225.7936163944</v>
      </c>
      <c r="G59" s="54">
        <f>G5+G39+G58</f>
        <v>9060.4494163944</v>
      </c>
      <c r="H59" s="55" t="s">
        <v>152</v>
      </c>
      <c r="I59" s="70">
        <f>I5</f>
        <v>12134.97</v>
      </c>
      <c r="J59" s="178">
        <f>G59/I59*10000</f>
        <v>7466.39622215333</v>
      </c>
      <c r="K59" s="71">
        <v>1</v>
      </c>
    </row>
    <row r="61" customHeight="1" spans="9:9">
      <c r="I61" s="78">
        <f>G59/I7</f>
        <v>0.746639622215333</v>
      </c>
    </row>
    <row r="62" customHeight="1" spans="7:7">
      <c r="G62" s="9">
        <v>9133.4</v>
      </c>
    </row>
    <row r="64" customHeight="1" spans="11:11">
      <c r="K64" s="8">
        <v>9248.41</v>
      </c>
    </row>
    <row r="65" customHeight="1" spans="11:11">
      <c r="K65" s="8">
        <f>G59-K64</f>
        <v>-187.9605836056</v>
      </c>
    </row>
  </sheetData>
  <mergeCells count="8">
    <mergeCell ref="A1:K1"/>
    <mergeCell ref="A2:K2"/>
    <mergeCell ref="C3:G3"/>
    <mergeCell ref="H3:J3"/>
    <mergeCell ref="A3:A4"/>
    <mergeCell ref="B3:B4"/>
    <mergeCell ref="O9:O15"/>
    <mergeCell ref="O19:O22"/>
  </mergeCells>
  <pageMargins left="0.590277777777778" right="0.590277777777778" top="0.590277777777778" bottom="0.590277777777778" header="0.5" footer="0.5"/>
  <pageSetup paperSize="9" scale="62" orientation="landscape"/>
  <headerFooter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workbookViewId="0">
      <pane ySplit="2" topLeftCell="A9" activePane="bottomLeft" state="frozen"/>
      <selection/>
      <selection pane="bottomLeft" activeCell="H13" sqref="H13"/>
    </sheetView>
  </sheetViews>
  <sheetFormatPr defaultColWidth="9.18095238095238" defaultRowHeight="12.75"/>
  <cols>
    <col min="1" max="1" width="9.72380952380952" style="133" customWidth="1"/>
    <col min="2" max="2" width="34.8190476190476" style="133" customWidth="1"/>
    <col min="3" max="3" width="19.4571428571429" style="133" customWidth="1"/>
    <col min="4" max="4" width="19.4571428571429" style="134" customWidth="1"/>
    <col min="5" max="5" width="15.7238095238095" style="134" customWidth="1"/>
    <col min="6" max="6" width="14.4571428571429" style="134" customWidth="1"/>
    <col min="7" max="7" width="15.2666666666667" style="134" customWidth="1"/>
    <col min="8" max="8" width="14.4571428571429" style="134" customWidth="1"/>
    <col min="9" max="9" width="28.1809523809524" style="135" customWidth="1"/>
    <col min="10" max="10" width="18.4571428571429" style="135" customWidth="1"/>
  </cols>
  <sheetData>
    <row r="1" ht="49" customHeight="1" spans="1:10">
      <c r="A1" s="136" t="s">
        <v>226</v>
      </c>
      <c r="B1" s="137"/>
      <c r="C1" s="137"/>
      <c r="D1" s="137"/>
      <c r="E1" s="137"/>
      <c r="F1" s="137"/>
      <c r="G1" s="137"/>
      <c r="H1" s="137"/>
      <c r="I1" s="137"/>
      <c r="J1" s="137"/>
    </row>
    <row r="2" ht="30" customHeight="1" spans="1:10">
      <c r="A2" s="138" t="s">
        <v>1</v>
      </c>
      <c r="B2" s="138" t="s">
        <v>113</v>
      </c>
      <c r="C2" s="138" t="s">
        <v>227</v>
      </c>
      <c r="D2" s="139" t="s">
        <v>228</v>
      </c>
      <c r="E2" s="139" t="s">
        <v>11</v>
      </c>
      <c r="F2" s="139" t="s">
        <v>229</v>
      </c>
      <c r="G2" s="139" t="s">
        <v>230</v>
      </c>
      <c r="H2" s="139" t="s">
        <v>231</v>
      </c>
      <c r="I2" s="139" t="s">
        <v>232</v>
      </c>
      <c r="J2" s="139" t="s">
        <v>233</v>
      </c>
    </row>
    <row r="3" s="131" customFormat="1" ht="30" customHeight="1" spans="1:10">
      <c r="A3" s="140" t="s">
        <v>14</v>
      </c>
      <c r="B3" s="140" t="s">
        <v>234</v>
      </c>
      <c r="C3" s="140">
        <v>12361.35</v>
      </c>
      <c r="D3" s="141"/>
      <c r="E3" s="150"/>
      <c r="F3" s="150"/>
      <c r="G3" s="150"/>
      <c r="H3" s="150"/>
      <c r="I3" s="152"/>
      <c r="J3" s="152"/>
    </row>
    <row r="4" s="131" customFormat="1" ht="30" customHeight="1" spans="1:10">
      <c r="A4" s="140"/>
      <c r="B4" s="138" t="s">
        <v>235</v>
      </c>
      <c r="C4" s="140">
        <v>12361.35</v>
      </c>
      <c r="D4" s="141"/>
      <c r="E4" s="138" t="s">
        <v>63</v>
      </c>
      <c r="F4" s="138">
        <f>66*87*2</f>
        <v>11484</v>
      </c>
      <c r="G4" s="138">
        <v>223</v>
      </c>
      <c r="H4" s="139">
        <f>G4*F4/10000</f>
        <v>256.0932</v>
      </c>
      <c r="I4" s="153">
        <f>H4/C4*10000</f>
        <v>207.172517564829</v>
      </c>
      <c r="J4" s="152"/>
    </row>
    <row r="5" s="131" customFormat="1" ht="30" customHeight="1" spans="1:10">
      <c r="A5" s="140"/>
      <c r="B5" s="138" t="s">
        <v>236</v>
      </c>
      <c r="C5" s="138">
        <v>12361.35</v>
      </c>
      <c r="D5" s="142"/>
      <c r="E5" s="138" t="s">
        <v>63</v>
      </c>
      <c r="F5" s="138">
        <f>66*87*2</f>
        <v>11484</v>
      </c>
      <c r="G5" s="138">
        <v>25</v>
      </c>
      <c r="H5" s="139">
        <f>G5*F5/10000</f>
        <v>28.71</v>
      </c>
      <c r="I5" s="153">
        <f>H5/C5*10000</f>
        <v>23.2256185610795</v>
      </c>
      <c r="J5" s="152"/>
    </row>
    <row r="6" s="132" customFormat="1" ht="30" customHeight="1" spans="1:10">
      <c r="A6" s="143">
        <v>1</v>
      </c>
      <c r="B6" s="144" t="s">
        <v>237</v>
      </c>
      <c r="C6" s="144">
        <v>12361.35</v>
      </c>
      <c r="D6" s="145"/>
      <c r="E6" s="145" t="s">
        <v>238</v>
      </c>
      <c r="F6" s="151">
        <v>300</v>
      </c>
      <c r="G6" s="151">
        <v>4300</v>
      </c>
      <c r="H6" s="151">
        <f>F6*G6/10000</f>
        <v>129</v>
      </c>
      <c r="I6" s="154">
        <f>H6/C6*10000</f>
        <v>104.357533764516</v>
      </c>
      <c r="J6" s="154"/>
    </row>
    <row r="7" ht="30" customHeight="1" spans="1:10">
      <c r="A7" s="146">
        <v>2</v>
      </c>
      <c r="B7" s="138" t="s">
        <v>132</v>
      </c>
      <c r="C7" s="138">
        <v>12361.35</v>
      </c>
      <c r="D7" s="139">
        <v>2.6</v>
      </c>
      <c r="E7" s="149" t="s">
        <v>63</v>
      </c>
      <c r="F7" s="149">
        <f>D7*C7</f>
        <v>32139.51</v>
      </c>
      <c r="G7" s="149">
        <v>60</v>
      </c>
      <c r="H7" s="149">
        <f>G7*F7/10000</f>
        <v>192.83706</v>
      </c>
      <c r="I7" s="155">
        <f t="shared" ref="I7:I16" si="0">H7/C7*10000</f>
        <v>156</v>
      </c>
      <c r="J7" s="155"/>
    </row>
    <row r="8" ht="30" customHeight="1" spans="1:10">
      <c r="A8" s="146">
        <v>3</v>
      </c>
      <c r="B8" s="138" t="s">
        <v>239</v>
      </c>
      <c r="C8" s="138">
        <v>12361.35</v>
      </c>
      <c r="D8" s="139">
        <v>0.49</v>
      </c>
      <c r="E8" s="149" t="s">
        <v>63</v>
      </c>
      <c r="F8" s="149">
        <f>D8*C8</f>
        <v>6057.0615</v>
      </c>
      <c r="G8" s="149">
        <v>580</v>
      </c>
      <c r="H8" s="149">
        <f>F8*G8/10000</f>
        <v>351.309567</v>
      </c>
      <c r="I8" s="155">
        <f t="shared" si="0"/>
        <v>284.2</v>
      </c>
      <c r="J8" s="155"/>
    </row>
    <row r="9" ht="30" customHeight="1" spans="1:10">
      <c r="A9" s="146">
        <v>4</v>
      </c>
      <c r="B9" s="138" t="s">
        <v>240</v>
      </c>
      <c r="C9" s="138">
        <v>12361.35</v>
      </c>
      <c r="D9" s="139">
        <v>0.11</v>
      </c>
      <c r="E9" s="149" t="s">
        <v>63</v>
      </c>
      <c r="F9" s="149">
        <f>D9*C9</f>
        <v>1359.7485</v>
      </c>
      <c r="G9" s="149">
        <v>595</v>
      </c>
      <c r="H9" s="149">
        <f>G9*F9/10000</f>
        <v>80.90503575</v>
      </c>
      <c r="I9" s="155">
        <f t="shared" si="0"/>
        <v>65.45</v>
      </c>
      <c r="J9" s="155"/>
    </row>
    <row r="10" ht="30" customHeight="1" spans="1:10">
      <c r="A10" s="146">
        <v>5</v>
      </c>
      <c r="B10" s="138" t="s">
        <v>241</v>
      </c>
      <c r="C10" s="138">
        <v>12361.35</v>
      </c>
      <c r="D10" s="145"/>
      <c r="E10" s="139" t="s">
        <v>16</v>
      </c>
      <c r="F10" s="149">
        <v>1000</v>
      </c>
      <c r="G10" s="149">
        <v>1200</v>
      </c>
      <c r="H10" s="149">
        <f>F10*G10/10000</f>
        <v>120</v>
      </c>
      <c r="I10" s="155">
        <f t="shared" si="0"/>
        <v>97.0767755948986</v>
      </c>
      <c r="J10" s="155"/>
    </row>
    <row r="11" ht="30" customHeight="1" spans="1:10">
      <c r="A11" s="146">
        <v>6</v>
      </c>
      <c r="B11" s="138" t="s">
        <v>242</v>
      </c>
      <c r="C11" s="138">
        <v>12361.35</v>
      </c>
      <c r="D11" s="145">
        <v>90</v>
      </c>
      <c r="E11" s="149" t="s">
        <v>243</v>
      </c>
      <c r="F11" s="149">
        <f>D11*C11/1000</f>
        <v>1112.5215</v>
      </c>
      <c r="G11" s="149">
        <v>6300</v>
      </c>
      <c r="H11" s="149">
        <f>G11*F11/10000</f>
        <v>700.888545</v>
      </c>
      <c r="I11" s="155">
        <f t="shared" si="0"/>
        <v>567</v>
      </c>
      <c r="J11" s="155"/>
    </row>
    <row r="12" ht="30" customHeight="1" spans="1:10">
      <c r="A12" s="146">
        <v>7</v>
      </c>
      <c r="B12" s="138" t="s">
        <v>244</v>
      </c>
      <c r="C12" s="140">
        <v>12361.35</v>
      </c>
      <c r="D12" s="139">
        <v>3</v>
      </c>
      <c r="E12" s="139" t="s">
        <v>16</v>
      </c>
      <c r="F12" s="149">
        <f>D12*C12</f>
        <v>37084.05</v>
      </c>
      <c r="G12" s="149">
        <v>70</v>
      </c>
      <c r="H12" s="149">
        <f>G12*F12/10000</f>
        <v>259.58835</v>
      </c>
      <c r="I12" s="155">
        <f t="shared" si="0"/>
        <v>210</v>
      </c>
      <c r="J12" s="155"/>
    </row>
    <row r="13" ht="30" customHeight="1" spans="1:10">
      <c r="A13" s="146">
        <v>8</v>
      </c>
      <c r="B13" s="138" t="s">
        <v>245</v>
      </c>
      <c r="C13" s="138">
        <v>12361.35</v>
      </c>
      <c r="D13" s="139"/>
      <c r="E13" s="149" t="s">
        <v>243</v>
      </c>
      <c r="F13" s="149">
        <f>120*5000/1000</f>
        <v>600</v>
      </c>
      <c r="G13" s="149">
        <v>13000</v>
      </c>
      <c r="H13" s="149">
        <f>F13*G13/10000</f>
        <v>780</v>
      </c>
      <c r="I13" s="155">
        <f t="shared" si="0"/>
        <v>630.999041366841</v>
      </c>
      <c r="J13" s="155"/>
    </row>
    <row r="14" ht="30" customHeight="1" spans="1:10">
      <c r="A14" s="146">
        <v>9</v>
      </c>
      <c r="B14" s="138" t="s">
        <v>246</v>
      </c>
      <c r="C14" s="140">
        <v>12361.35</v>
      </c>
      <c r="D14" s="139"/>
      <c r="E14" s="139" t="s">
        <v>16</v>
      </c>
      <c r="F14" s="149">
        <v>5000</v>
      </c>
      <c r="G14" s="149">
        <v>1000</v>
      </c>
      <c r="H14" s="149">
        <f>F14*G14/10000</f>
        <v>500</v>
      </c>
      <c r="I14" s="155">
        <f t="shared" si="0"/>
        <v>404.486564978744</v>
      </c>
      <c r="J14" s="155"/>
    </row>
    <row r="15" ht="30" customHeight="1" spans="1:10">
      <c r="A15" s="146">
        <v>10</v>
      </c>
      <c r="B15" s="138" t="s">
        <v>247</v>
      </c>
      <c r="C15" s="140">
        <v>12361.35</v>
      </c>
      <c r="D15" s="139"/>
      <c r="E15" s="139" t="s">
        <v>16</v>
      </c>
      <c r="F15" s="149">
        <v>1180</v>
      </c>
      <c r="G15" s="149">
        <v>1500</v>
      </c>
      <c r="H15" s="149">
        <f>F15*G15/10000</f>
        <v>177</v>
      </c>
      <c r="I15" s="155">
        <f t="shared" si="0"/>
        <v>143.188244002475</v>
      </c>
      <c r="J15" s="155"/>
    </row>
    <row r="16" s="131" customFormat="1" ht="30" customHeight="1" spans="1:14">
      <c r="A16" s="147"/>
      <c r="B16" s="140" t="s">
        <v>248</v>
      </c>
      <c r="C16" s="140">
        <v>12361.35</v>
      </c>
      <c r="D16" s="141"/>
      <c r="E16" s="141" t="s">
        <v>16</v>
      </c>
      <c r="F16" s="150">
        <f>C16</f>
        <v>12361.35</v>
      </c>
      <c r="G16" s="150">
        <v>183.3</v>
      </c>
      <c r="H16" s="150">
        <f>G16*F16/10000</f>
        <v>226.5835455</v>
      </c>
      <c r="I16" s="152">
        <f t="shared" si="0"/>
        <v>183.3</v>
      </c>
      <c r="J16" s="152"/>
      <c r="N16" s="131">
        <v>2265781</v>
      </c>
    </row>
    <row r="17" ht="30" customHeight="1" spans="1:10">
      <c r="A17" s="138" t="s">
        <v>17</v>
      </c>
      <c r="B17" s="138" t="s">
        <v>249</v>
      </c>
      <c r="C17" s="138">
        <v>12361.35</v>
      </c>
      <c r="D17" s="139"/>
      <c r="E17" s="149"/>
      <c r="F17" s="149"/>
      <c r="G17" s="149"/>
      <c r="H17" s="149"/>
      <c r="I17" s="155"/>
      <c r="J17" s="155"/>
    </row>
    <row r="18" ht="30" customHeight="1" spans="1:10">
      <c r="A18" s="146">
        <v>1</v>
      </c>
      <c r="B18" s="138" t="s">
        <v>250</v>
      </c>
      <c r="C18" s="138">
        <v>12361.35</v>
      </c>
      <c r="D18" s="148"/>
      <c r="E18" s="139" t="s">
        <v>16</v>
      </c>
      <c r="F18" s="149">
        <v>550</v>
      </c>
      <c r="G18" s="149">
        <v>1000</v>
      </c>
      <c r="H18" s="149">
        <f>G18*F18/10000</f>
        <v>55</v>
      </c>
      <c r="I18" s="155">
        <f t="shared" ref="I18:I24" si="1">H18/C18*10000</f>
        <v>44.4935221476619</v>
      </c>
      <c r="J18" s="155"/>
    </row>
    <row r="19" ht="30" customHeight="1" spans="1:10">
      <c r="A19" s="146">
        <v>2</v>
      </c>
      <c r="B19" s="138" t="s">
        <v>251</v>
      </c>
      <c r="C19" s="140">
        <v>12361.35</v>
      </c>
      <c r="D19" s="149">
        <v>0.92</v>
      </c>
      <c r="E19" s="139" t="s">
        <v>16</v>
      </c>
      <c r="F19" s="149">
        <f>D19*C19</f>
        <v>11372.442</v>
      </c>
      <c r="G19" s="149">
        <v>140</v>
      </c>
      <c r="H19" s="149">
        <f>G19*C19/10000</f>
        <v>173.0589</v>
      </c>
      <c r="I19" s="155">
        <f t="shared" si="1"/>
        <v>140</v>
      </c>
      <c r="J19" s="155"/>
    </row>
    <row r="20" ht="30" customHeight="1" spans="1:10">
      <c r="A20" s="146">
        <v>3</v>
      </c>
      <c r="B20" s="138" t="s">
        <v>252</v>
      </c>
      <c r="C20" s="138">
        <v>12361.35</v>
      </c>
      <c r="D20" s="149">
        <v>0.81</v>
      </c>
      <c r="E20" s="139" t="s">
        <v>16</v>
      </c>
      <c r="F20" s="149">
        <f>D20*C20</f>
        <v>10012.6935</v>
      </c>
      <c r="G20" s="149">
        <v>220</v>
      </c>
      <c r="H20" s="149">
        <f>F20*G20/10000</f>
        <v>220.279257</v>
      </c>
      <c r="I20" s="155">
        <f t="shared" si="1"/>
        <v>178.2</v>
      </c>
      <c r="J20" s="155"/>
    </row>
    <row r="21" ht="30" customHeight="1" spans="1:10">
      <c r="A21" s="146">
        <v>4</v>
      </c>
      <c r="B21" s="138" t="s">
        <v>253</v>
      </c>
      <c r="C21" s="138">
        <v>12361.35</v>
      </c>
      <c r="D21" s="149">
        <v>1.5</v>
      </c>
      <c r="E21" s="139" t="s">
        <v>16</v>
      </c>
      <c r="F21" s="149">
        <f>D21*C21</f>
        <v>18542.025</v>
      </c>
      <c r="G21" s="149">
        <v>130</v>
      </c>
      <c r="H21" s="149">
        <f>G21*C21/10000</f>
        <v>160.69755</v>
      </c>
      <c r="I21" s="155">
        <f t="shared" si="1"/>
        <v>130</v>
      </c>
      <c r="J21" s="155"/>
    </row>
    <row r="22" ht="30" customHeight="1" spans="1:10">
      <c r="A22" s="146">
        <v>5</v>
      </c>
      <c r="B22" s="138" t="s">
        <v>254</v>
      </c>
      <c r="C22" s="138">
        <v>12361.35</v>
      </c>
      <c r="D22" s="149"/>
      <c r="E22" s="139" t="s">
        <v>16</v>
      </c>
      <c r="F22" s="149">
        <v>3500</v>
      </c>
      <c r="G22" s="149">
        <v>950</v>
      </c>
      <c r="H22" s="149">
        <f>G22*F22/10000</f>
        <v>332.5</v>
      </c>
      <c r="I22" s="155">
        <f t="shared" si="1"/>
        <v>268.983565710865</v>
      </c>
      <c r="J22" s="155"/>
    </row>
    <row r="23" ht="30" customHeight="1" spans="1:10">
      <c r="A23" s="146">
        <v>6</v>
      </c>
      <c r="B23" s="138" t="s">
        <v>255</v>
      </c>
      <c r="C23" s="138">
        <v>12361.35</v>
      </c>
      <c r="D23" s="149"/>
      <c r="E23" s="139" t="s">
        <v>16</v>
      </c>
      <c r="F23" s="149">
        <v>4700</v>
      </c>
      <c r="G23" s="149">
        <v>160</v>
      </c>
      <c r="H23" s="149">
        <f>G23*F23/10000</f>
        <v>75.2</v>
      </c>
      <c r="I23" s="155">
        <f t="shared" si="1"/>
        <v>60.8347793728031</v>
      </c>
      <c r="J23" s="155"/>
    </row>
    <row r="24" ht="30" customHeight="1" spans="1:10">
      <c r="A24" s="146">
        <v>7</v>
      </c>
      <c r="B24" s="138" t="s">
        <v>256</v>
      </c>
      <c r="C24" s="140">
        <v>12361.35</v>
      </c>
      <c r="D24" s="149"/>
      <c r="E24" s="139" t="s">
        <v>16</v>
      </c>
      <c r="F24" s="149">
        <v>1600</v>
      </c>
      <c r="G24" s="149">
        <v>226</v>
      </c>
      <c r="H24" s="149">
        <f>G24*F24/10000</f>
        <v>36.16</v>
      </c>
      <c r="I24" s="155">
        <f t="shared" si="1"/>
        <v>29.2524683792628</v>
      </c>
      <c r="J24" s="155"/>
    </row>
    <row r="25" s="131" customFormat="1" ht="30" customHeight="1" spans="1:10">
      <c r="A25" s="140" t="s">
        <v>17</v>
      </c>
      <c r="B25" s="140" t="s">
        <v>257</v>
      </c>
      <c r="C25" s="140">
        <v>12361.35</v>
      </c>
      <c r="D25" s="150"/>
      <c r="E25" s="139"/>
      <c r="F25" s="150"/>
      <c r="G25" s="150"/>
      <c r="H25" s="150">
        <f>SUM(H26:H30)</f>
        <v>1039.589535</v>
      </c>
      <c r="I25" s="152"/>
      <c r="J25" s="152"/>
    </row>
    <row r="26" ht="30" customHeight="1" spans="1:10">
      <c r="A26" s="146">
        <v>1</v>
      </c>
      <c r="B26" s="138" t="s">
        <v>258</v>
      </c>
      <c r="C26" s="138">
        <v>12361.35</v>
      </c>
      <c r="D26" s="149"/>
      <c r="E26" s="139" t="s">
        <v>16</v>
      </c>
      <c r="F26" s="139">
        <v>12361.35</v>
      </c>
      <c r="G26" s="149">
        <v>150</v>
      </c>
      <c r="H26" s="149">
        <f>G26*F26/10000</f>
        <v>185.42025</v>
      </c>
      <c r="I26" s="155"/>
      <c r="J26" s="155"/>
    </row>
    <row r="27" ht="30" customHeight="1" spans="1:10">
      <c r="A27" s="146">
        <v>2</v>
      </c>
      <c r="B27" s="138" t="s">
        <v>259</v>
      </c>
      <c r="C27" s="140">
        <v>12361.35</v>
      </c>
      <c r="D27" s="149"/>
      <c r="E27" s="139" t="s">
        <v>16</v>
      </c>
      <c r="F27" s="141">
        <v>12361.35</v>
      </c>
      <c r="G27" s="149">
        <v>220</v>
      </c>
      <c r="H27" s="149">
        <f>G27*F27/10000</f>
        <v>271.9497</v>
      </c>
      <c r="I27" s="155"/>
      <c r="J27" s="155"/>
    </row>
    <row r="28" s="132" customFormat="1" ht="30" customHeight="1" spans="1:10">
      <c r="A28" s="143">
        <v>3</v>
      </c>
      <c r="B28" s="144" t="s">
        <v>260</v>
      </c>
      <c r="C28" s="144">
        <v>12361.35</v>
      </c>
      <c r="D28" s="151"/>
      <c r="E28" s="145" t="s">
        <v>16</v>
      </c>
      <c r="F28" s="145">
        <v>12361.35</v>
      </c>
      <c r="G28" s="151">
        <v>300</v>
      </c>
      <c r="H28" s="151">
        <f>G28*F28/10000*0</f>
        <v>0</v>
      </c>
      <c r="I28" s="154"/>
      <c r="J28" s="154"/>
    </row>
    <row r="29" ht="30" customHeight="1" spans="1:10">
      <c r="A29" s="146">
        <v>4</v>
      </c>
      <c r="B29" s="138" t="s">
        <v>261</v>
      </c>
      <c r="C29" s="138">
        <v>12361.35</v>
      </c>
      <c r="D29" s="149"/>
      <c r="E29" s="139" t="s">
        <v>16</v>
      </c>
      <c r="F29" s="139">
        <v>12361.35</v>
      </c>
      <c r="G29" s="149">
        <v>315</v>
      </c>
      <c r="H29" s="149">
        <f>G29*F29/10000</f>
        <v>389.382525</v>
      </c>
      <c r="I29" s="155"/>
      <c r="J29" s="155"/>
    </row>
    <row r="30" ht="30" customHeight="1" spans="1:10">
      <c r="A30" s="146">
        <v>5</v>
      </c>
      <c r="B30" s="138" t="s">
        <v>262</v>
      </c>
      <c r="C30" s="140">
        <v>12361.35</v>
      </c>
      <c r="D30" s="149"/>
      <c r="E30" s="139" t="s">
        <v>16</v>
      </c>
      <c r="F30" s="141">
        <v>12361.35</v>
      </c>
      <c r="G30" s="149">
        <v>156</v>
      </c>
      <c r="H30" s="149">
        <f>G30*F30/10000</f>
        <v>192.83706</v>
      </c>
      <c r="I30" s="155"/>
      <c r="J30" s="155"/>
    </row>
    <row r="31" ht="30" customHeight="1" spans="1:10">
      <c r="A31" s="138" t="s">
        <v>263</v>
      </c>
      <c r="B31" s="138" t="s">
        <v>264</v>
      </c>
      <c r="C31" s="138">
        <v>12361.35</v>
      </c>
      <c r="D31" s="149"/>
      <c r="E31" s="139" t="s">
        <v>265</v>
      </c>
      <c r="F31" s="139">
        <v>150</v>
      </c>
      <c r="G31" s="149">
        <v>10000</v>
      </c>
      <c r="H31" s="149">
        <f>G31*F31/10000</f>
        <v>150</v>
      </c>
      <c r="I31" s="155">
        <f>H31/C31*10000</f>
        <v>121.345969493623</v>
      </c>
      <c r="J31" s="155"/>
    </row>
  </sheetData>
  <mergeCells count="1">
    <mergeCell ref="A1:J1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9"/>
  <sheetViews>
    <sheetView zoomScale="70" zoomScaleNormal="70" zoomScaleSheetLayoutView="85" topLeftCell="A5" workbookViewId="0">
      <selection activeCell="B14" sqref="B14"/>
    </sheetView>
  </sheetViews>
  <sheetFormatPr defaultColWidth="10.2666666666667" defaultRowHeight="28" customHeight="1"/>
  <cols>
    <col min="1" max="1" width="10.4571428571429" style="7"/>
    <col min="2" max="2" width="40.6285714285714" style="8" customWidth="1"/>
    <col min="3" max="3" width="16.8190476190476" style="7"/>
    <col min="4" max="4" width="18.5428571428571" style="7"/>
    <col min="5" max="5" width="15.2666666666667" style="8" customWidth="1"/>
    <col min="6" max="6" width="13.5428571428571" style="8" customWidth="1"/>
    <col min="7" max="7" width="16.8190476190476" style="9"/>
    <col min="8" max="8" width="10.2666666666667" style="7"/>
    <col min="9" max="9" width="20.1809523809524" style="7"/>
    <col min="10" max="10" width="20" style="7"/>
    <col min="11" max="11" width="17.7238095238095" style="8" customWidth="1"/>
    <col min="12" max="12" width="16.1809523809524" style="8" hidden="1" customWidth="1"/>
    <col min="13" max="13" width="10.2666666666667" style="8" hidden="1" customWidth="1"/>
    <col min="14" max="14" width="14.4571428571429" style="8" hidden="1" customWidth="1"/>
    <col min="15" max="16" width="10.2666666666667" style="8"/>
    <col min="17" max="17" width="27.5428571428571" style="8" customWidth="1"/>
    <col min="18" max="19" width="16.2666666666667" style="8"/>
    <col min="20" max="20" width="23.2666666666667" style="8" customWidth="1"/>
    <col min="21" max="21" width="15.8190476190476" style="8"/>
    <col min="22" max="16384" width="10.2666666666667" style="8"/>
  </cols>
  <sheetData>
    <row r="1" ht="42" customHeight="1" spans="1:11">
      <c r="A1" s="10" t="s">
        <v>174</v>
      </c>
      <c r="B1" s="10"/>
      <c r="C1" s="10"/>
      <c r="D1" s="10"/>
      <c r="E1" s="10"/>
      <c r="F1" s="10"/>
      <c r="G1" s="44"/>
      <c r="H1" s="10"/>
      <c r="I1" s="10"/>
      <c r="J1" s="10"/>
      <c r="K1" s="10"/>
    </row>
    <row r="2" customHeight="1" spans="1:11">
      <c r="A2" s="11" t="s">
        <v>266</v>
      </c>
      <c r="B2" s="11"/>
      <c r="C2" s="11"/>
      <c r="D2" s="11"/>
      <c r="E2" s="11"/>
      <c r="F2" s="11"/>
      <c r="G2" s="45"/>
      <c r="H2" s="11"/>
      <c r="I2" s="11"/>
      <c r="J2" s="11"/>
      <c r="K2" s="11"/>
    </row>
    <row r="3" ht="37.5" spans="1:11">
      <c r="A3" s="12" t="s">
        <v>1</v>
      </c>
      <c r="B3" s="13" t="s">
        <v>113</v>
      </c>
      <c r="C3" s="14" t="s">
        <v>176</v>
      </c>
      <c r="D3" s="14"/>
      <c r="E3" s="14"/>
      <c r="F3" s="14"/>
      <c r="G3" s="46"/>
      <c r="H3" s="14" t="s">
        <v>115</v>
      </c>
      <c r="I3" s="14"/>
      <c r="J3" s="14"/>
      <c r="K3" s="56" t="s">
        <v>116</v>
      </c>
    </row>
    <row r="4" customHeight="1" spans="1:11">
      <c r="A4" s="15"/>
      <c r="B4" s="16"/>
      <c r="C4" s="16" t="s">
        <v>234</v>
      </c>
      <c r="D4" s="16" t="s">
        <v>257</v>
      </c>
      <c r="E4" s="16" t="s">
        <v>7</v>
      </c>
      <c r="F4" s="16" t="s">
        <v>9</v>
      </c>
      <c r="G4" s="47" t="s">
        <v>10</v>
      </c>
      <c r="H4" s="48" t="s">
        <v>11</v>
      </c>
      <c r="I4" s="48" t="s">
        <v>12</v>
      </c>
      <c r="J4" s="16" t="s">
        <v>267</v>
      </c>
      <c r="K4" s="57"/>
    </row>
    <row r="5" s="1" customFormat="1" customHeight="1" spans="1:11">
      <c r="A5" s="17" t="s">
        <v>14</v>
      </c>
      <c r="B5" s="18" t="s">
        <v>15</v>
      </c>
      <c r="C5" s="19">
        <f t="shared" ref="C5:G5" si="0">C6+C14</f>
        <v>2045.048</v>
      </c>
      <c r="D5" s="20">
        <f t="shared" si="0"/>
        <v>325.15</v>
      </c>
      <c r="E5" s="19">
        <f t="shared" si="0"/>
        <v>127.5</v>
      </c>
      <c r="F5" s="20"/>
      <c r="G5" s="19">
        <f t="shared" si="0"/>
        <v>2497.698</v>
      </c>
      <c r="H5" s="18" t="s">
        <v>130</v>
      </c>
      <c r="I5" s="20"/>
      <c r="J5" s="18"/>
      <c r="K5" s="58">
        <f>G5/G49</f>
        <v>0.830715879106989</v>
      </c>
    </row>
    <row r="6" s="1" customFormat="1" customHeight="1" spans="1:18">
      <c r="A6" s="21">
        <v>1</v>
      </c>
      <c r="B6" s="22" t="s">
        <v>268</v>
      </c>
      <c r="C6" s="19">
        <f t="shared" ref="C6:G6" si="1">SUM(C7:C13)</f>
        <v>912</v>
      </c>
      <c r="D6" s="19">
        <f t="shared" si="1"/>
        <v>187.8</v>
      </c>
      <c r="E6" s="19">
        <f t="shared" si="1"/>
        <v>127.5</v>
      </c>
      <c r="F6" s="19"/>
      <c r="G6" s="19">
        <f t="shared" si="1"/>
        <v>1227.3</v>
      </c>
      <c r="H6" s="48" t="s">
        <v>16</v>
      </c>
      <c r="I6" s="20">
        <v>2850</v>
      </c>
      <c r="J6" s="20">
        <f>G6/I6*10000</f>
        <v>4306.31578947368</v>
      </c>
      <c r="K6" s="58"/>
      <c r="R6" s="1">
        <f>2850*300</f>
        <v>855000</v>
      </c>
    </row>
    <row r="7" s="1" customFormat="1" customHeight="1" spans="1:11">
      <c r="A7" s="23">
        <v>1.1</v>
      </c>
      <c r="B7" s="24" t="s">
        <v>269</v>
      </c>
      <c r="C7" s="25">
        <f>I7*J7/10000</f>
        <v>912</v>
      </c>
      <c r="D7" s="20"/>
      <c r="E7" s="20"/>
      <c r="F7" s="18"/>
      <c r="G7" s="25">
        <f t="shared" ref="G7:G13" si="2">SUM(C7:F7)</f>
        <v>912</v>
      </c>
      <c r="H7" s="48" t="s">
        <v>16</v>
      </c>
      <c r="I7" s="25">
        <v>2850</v>
      </c>
      <c r="J7" s="25">
        <v>3200</v>
      </c>
      <c r="K7" s="58"/>
    </row>
    <row r="8" s="1" customFormat="1" customHeight="1" spans="1:11">
      <c r="A8" s="23">
        <v>1.2</v>
      </c>
      <c r="B8" s="24" t="s">
        <v>270</v>
      </c>
      <c r="C8" s="19"/>
      <c r="D8" s="25">
        <f t="shared" ref="D8:D12" si="3">I8*J8/10000</f>
        <v>37.05</v>
      </c>
      <c r="E8" s="20"/>
      <c r="F8" s="18"/>
      <c r="G8" s="25">
        <f t="shared" si="2"/>
        <v>37.05</v>
      </c>
      <c r="H8" s="48" t="s">
        <v>16</v>
      </c>
      <c r="I8" s="25">
        <v>2850</v>
      </c>
      <c r="J8" s="25">
        <v>130</v>
      </c>
      <c r="K8" s="58"/>
    </row>
    <row r="9" s="1" customFormat="1" customHeight="1" spans="1:11">
      <c r="A9" s="23">
        <v>1.3</v>
      </c>
      <c r="B9" s="24" t="s">
        <v>271</v>
      </c>
      <c r="C9" s="19"/>
      <c r="D9" s="25">
        <f t="shared" si="3"/>
        <v>22.8</v>
      </c>
      <c r="E9" s="20"/>
      <c r="F9" s="18"/>
      <c r="G9" s="25">
        <f t="shared" si="2"/>
        <v>22.8</v>
      </c>
      <c r="H9" s="48" t="s">
        <v>16</v>
      </c>
      <c r="I9" s="25">
        <v>2850</v>
      </c>
      <c r="J9" s="25">
        <v>80</v>
      </c>
      <c r="K9" s="58"/>
    </row>
    <row r="10" s="1" customFormat="1" customHeight="1" spans="1:11">
      <c r="A10" s="23">
        <v>1.4</v>
      </c>
      <c r="B10" s="24" t="s">
        <v>272</v>
      </c>
      <c r="C10" s="19"/>
      <c r="D10" s="25">
        <f t="shared" si="3"/>
        <v>25.65</v>
      </c>
      <c r="E10" s="20"/>
      <c r="F10" s="18"/>
      <c r="G10" s="25">
        <f t="shared" si="2"/>
        <v>25.65</v>
      </c>
      <c r="H10" s="48" t="s">
        <v>16</v>
      </c>
      <c r="I10" s="25">
        <v>2850</v>
      </c>
      <c r="J10" s="25">
        <v>90</v>
      </c>
      <c r="K10" s="58"/>
    </row>
    <row r="11" s="1" customFormat="1" customHeight="1" spans="1:11">
      <c r="A11" s="23">
        <v>1.4</v>
      </c>
      <c r="B11" s="24" t="s">
        <v>273</v>
      </c>
      <c r="C11" s="19"/>
      <c r="D11" s="25">
        <f t="shared" si="3"/>
        <v>51.3</v>
      </c>
      <c r="E11" s="20"/>
      <c r="F11" s="18"/>
      <c r="G11" s="25">
        <f t="shared" si="2"/>
        <v>51.3</v>
      </c>
      <c r="H11" s="48" t="s">
        <v>16</v>
      </c>
      <c r="I11" s="25">
        <v>2850</v>
      </c>
      <c r="J11" s="25">
        <v>180</v>
      </c>
      <c r="K11" s="58"/>
    </row>
    <row r="12" s="1" customFormat="1" customHeight="1" spans="1:11">
      <c r="A12" s="123">
        <v>1.5</v>
      </c>
      <c r="B12" s="24" t="s">
        <v>274</v>
      </c>
      <c r="C12" s="19"/>
      <c r="D12" s="25">
        <f t="shared" si="3"/>
        <v>28.5</v>
      </c>
      <c r="E12" s="20"/>
      <c r="F12" s="18"/>
      <c r="G12" s="25">
        <f t="shared" si="2"/>
        <v>28.5</v>
      </c>
      <c r="H12" s="48" t="s">
        <v>16</v>
      </c>
      <c r="I12" s="25">
        <v>2850</v>
      </c>
      <c r="J12" s="25">
        <v>100</v>
      </c>
      <c r="K12" s="58"/>
    </row>
    <row r="13" s="122" customFormat="1" customHeight="1" spans="1:11">
      <c r="A13" s="123">
        <v>1.6</v>
      </c>
      <c r="B13" s="24" t="s">
        <v>275</v>
      </c>
      <c r="C13" s="124"/>
      <c r="D13" s="39">
        <f>I13*J13/10000*0.15</f>
        <v>22.5</v>
      </c>
      <c r="E13" s="39">
        <f>I13*J13/10000*0.85</f>
        <v>127.5</v>
      </c>
      <c r="F13" s="127"/>
      <c r="G13" s="25">
        <f t="shared" si="2"/>
        <v>150</v>
      </c>
      <c r="H13" s="53" t="s">
        <v>224</v>
      </c>
      <c r="I13" s="39">
        <v>1</v>
      </c>
      <c r="J13" s="39">
        <v>1500000</v>
      </c>
      <c r="K13" s="108"/>
    </row>
    <row r="14" s="1" customFormat="1" customHeight="1" spans="1:11">
      <c r="A14" s="21">
        <v>2</v>
      </c>
      <c r="B14" s="22" t="s">
        <v>276</v>
      </c>
      <c r="C14" s="19">
        <f t="shared" ref="C14:G14" si="4">SUM(C15:C29)</f>
        <v>1133.048</v>
      </c>
      <c r="D14" s="19">
        <f t="shared" si="4"/>
        <v>137.35</v>
      </c>
      <c r="E14" s="19"/>
      <c r="F14" s="19"/>
      <c r="G14" s="19">
        <f t="shared" si="4"/>
        <v>1270.398</v>
      </c>
      <c r="H14" s="18"/>
      <c r="I14" s="20"/>
      <c r="J14" s="18"/>
      <c r="K14" s="58"/>
    </row>
    <row r="15" s="1" customFormat="1" customHeight="1" spans="1:11">
      <c r="A15" s="26">
        <v>2.1</v>
      </c>
      <c r="B15" s="49" t="s">
        <v>132</v>
      </c>
      <c r="C15" s="25">
        <f t="shared" ref="C15:C17" si="5">I15*J15/10000</f>
        <v>20</v>
      </c>
      <c r="D15" s="19"/>
      <c r="E15" s="19"/>
      <c r="F15" s="19"/>
      <c r="G15" s="25">
        <f t="shared" ref="G15:G29" si="6">SUM(C15:F15)</f>
        <v>20</v>
      </c>
      <c r="H15" s="48" t="s">
        <v>224</v>
      </c>
      <c r="I15" s="25">
        <v>1</v>
      </c>
      <c r="J15" s="25">
        <v>200000</v>
      </c>
      <c r="K15" s="58"/>
    </row>
    <row r="16" s="1" customFormat="1" customHeight="1" spans="1:11">
      <c r="A16" s="26">
        <v>2.2</v>
      </c>
      <c r="B16" s="49" t="s">
        <v>277</v>
      </c>
      <c r="C16" s="25">
        <f t="shared" si="5"/>
        <v>63.588</v>
      </c>
      <c r="D16" s="25"/>
      <c r="E16" s="25"/>
      <c r="F16" s="25"/>
      <c r="G16" s="25">
        <f t="shared" si="6"/>
        <v>63.588</v>
      </c>
      <c r="H16" s="47" t="s">
        <v>16</v>
      </c>
      <c r="I16" s="25">
        <v>3028</v>
      </c>
      <c r="J16" s="25">
        <v>210</v>
      </c>
      <c r="K16" s="58"/>
    </row>
    <row r="17" s="1" customFormat="1" customHeight="1" spans="1:11">
      <c r="A17" s="26">
        <v>2.3</v>
      </c>
      <c r="B17" s="49" t="s">
        <v>191</v>
      </c>
      <c r="C17" s="25">
        <f t="shared" si="5"/>
        <v>84.3</v>
      </c>
      <c r="D17" s="25"/>
      <c r="E17" s="25"/>
      <c r="F17" s="25"/>
      <c r="G17" s="25">
        <f t="shared" si="6"/>
        <v>84.3</v>
      </c>
      <c r="H17" s="47" t="s">
        <v>16</v>
      </c>
      <c r="I17" s="25">
        <v>2810</v>
      </c>
      <c r="J17" s="25">
        <v>300</v>
      </c>
      <c r="K17" s="58"/>
    </row>
    <row r="18" s="1" customFormat="1" customHeight="1" spans="1:11">
      <c r="A18" s="26">
        <v>2.4</v>
      </c>
      <c r="B18" s="49" t="s">
        <v>278</v>
      </c>
      <c r="C18" s="25"/>
      <c r="D18" s="25">
        <f t="shared" ref="D18:D20" si="7">I18*J18/10000</f>
        <v>34.2</v>
      </c>
      <c r="E18" s="25"/>
      <c r="F18" s="25"/>
      <c r="G18" s="25">
        <f t="shared" si="6"/>
        <v>34.2</v>
      </c>
      <c r="H18" s="47" t="s">
        <v>16</v>
      </c>
      <c r="I18" s="25">
        <v>2850</v>
      </c>
      <c r="J18" s="25">
        <v>120</v>
      </c>
      <c r="K18" s="58"/>
    </row>
    <row r="19" s="1" customFormat="1" customHeight="1" spans="1:11">
      <c r="A19" s="26">
        <v>2.5</v>
      </c>
      <c r="B19" s="49" t="s">
        <v>279</v>
      </c>
      <c r="C19" s="25"/>
      <c r="D19" s="25">
        <f t="shared" si="7"/>
        <v>25.65</v>
      </c>
      <c r="E19" s="25"/>
      <c r="F19" s="25"/>
      <c r="G19" s="25">
        <f t="shared" si="6"/>
        <v>25.65</v>
      </c>
      <c r="H19" s="47" t="s">
        <v>16</v>
      </c>
      <c r="I19" s="25">
        <v>2850</v>
      </c>
      <c r="J19" s="25">
        <v>90</v>
      </c>
      <c r="K19" s="58"/>
    </row>
    <row r="20" s="1" customFormat="1" customHeight="1" spans="1:11">
      <c r="A20" s="26">
        <v>2.6</v>
      </c>
      <c r="B20" s="49" t="s">
        <v>280</v>
      </c>
      <c r="C20" s="25"/>
      <c r="D20" s="25">
        <f t="shared" si="7"/>
        <v>39.9</v>
      </c>
      <c r="E20" s="25"/>
      <c r="F20" s="25"/>
      <c r="G20" s="25">
        <f t="shared" si="6"/>
        <v>39.9</v>
      </c>
      <c r="H20" s="47" t="s">
        <v>16</v>
      </c>
      <c r="I20" s="25">
        <v>2850</v>
      </c>
      <c r="J20" s="25">
        <v>140</v>
      </c>
      <c r="K20" s="58"/>
    </row>
    <row r="21" s="122" customFormat="1" customHeight="1" spans="1:11">
      <c r="A21" s="125">
        <v>2.7</v>
      </c>
      <c r="B21" s="126" t="s">
        <v>134</v>
      </c>
      <c r="C21" s="39">
        <f t="shared" ref="C21:C23" si="8">I21*J21/10000</f>
        <v>62.4</v>
      </c>
      <c r="D21" s="39"/>
      <c r="E21" s="39"/>
      <c r="F21" s="39"/>
      <c r="G21" s="39">
        <f t="shared" si="6"/>
        <v>62.4</v>
      </c>
      <c r="H21" s="53" t="s">
        <v>16</v>
      </c>
      <c r="I21" s="39">
        <v>5200</v>
      </c>
      <c r="J21" s="39">
        <v>120</v>
      </c>
      <c r="K21" s="108"/>
    </row>
    <row r="22" s="1" customFormat="1" customHeight="1" spans="1:11">
      <c r="A22" s="26">
        <v>2.8</v>
      </c>
      <c r="B22" s="49" t="s">
        <v>281</v>
      </c>
      <c r="C22" s="25">
        <f t="shared" si="8"/>
        <v>582.08</v>
      </c>
      <c r="D22" s="25"/>
      <c r="E22" s="25"/>
      <c r="F22" s="25"/>
      <c r="G22" s="25">
        <f t="shared" si="6"/>
        <v>582.08</v>
      </c>
      <c r="H22" s="48" t="s">
        <v>16</v>
      </c>
      <c r="I22" s="25">
        <v>14552</v>
      </c>
      <c r="J22" s="25">
        <v>400</v>
      </c>
      <c r="K22" s="58"/>
    </row>
    <row r="23" s="1" customFormat="1" customHeight="1" spans="1:11">
      <c r="A23" s="26">
        <v>2.9</v>
      </c>
      <c r="B23" s="49" t="s">
        <v>282</v>
      </c>
      <c r="C23" s="25">
        <f t="shared" si="8"/>
        <v>25</v>
      </c>
      <c r="D23" s="25"/>
      <c r="E23" s="25"/>
      <c r="F23" s="25"/>
      <c r="G23" s="25">
        <f t="shared" si="6"/>
        <v>25</v>
      </c>
      <c r="H23" s="48" t="s">
        <v>16</v>
      </c>
      <c r="I23" s="25">
        <v>2500</v>
      </c>
      <c r="J23" s="25">
        <v>100</v>
      </c>
      <c r="K23" s="58"/>
    </row>
    <row r="24" s="1" customFormat="1" customHeight="1" spans="1:11">
      <c r="A24" s="28">
        <v>2.1</v>
      </c>
      <c r="B24" s="49" t="s">
        <v>283</v>
      </c>
      <c r="C24" s="25"/>
      <c r="D24" s="25">
        <f>I24*J24/10000</f>
        <v>12</v>
      </c>
      <c r="E24" s="25"/>
      <c r="F24" s="25"/>
      <c r="G24" s="25">
        <f t="shared" si="6"/>
        <v>12</v>
      </c>
      <c r="H24" s="47" t="s">
        <v>199</v>
      </c>
      <c r="I24" s="25">
        <v>4</v>
      </c>
      <c r="J24" s="25">
        <v>30000</v>
      </c>
      <c r="K24" s="58"/>
    </row>
    <row r="25" s="1" customFormat="1" customHeight="1" spans="1:11">
      <c r="A25" s="28">
        <v>2.11</v>
      </c>
      <c r="B25" s="49" t="s">
        <v>284</v>
      </c>
      <c r="C25" s="25">
        <f t="shared" ref="C25:C29" si="9">I25*J25/10000</f>
        <v>58.8</v>
      </c>
      <c r="D25" s="25"/>
      <c r="E25" s="25"/>
      <c r="F25" s="25"/>
      <c r="G25" s="25">
        <f t="shared" si="6"/>
        <v>58.8</v>
      </c>
      <c r="H25" s="47" t="s">
        <v>16</v>
      </c>
      <c r="I25" s="25">
        <v>980</v>
      </c>
      <c r="J25" s="25">
        <v>600</v>
      </c>
      <c r="K25" s="58"/>
    </row>
    <row r="26" s="1" customFormat="1" customHeight="1" spans="1:11">
      <c r="A26" s="28">
        <v>2.12</v>
      </c>
      <c r="B26" s="49" t="s">
        <v>285</v>
      </c>
      <c r="C26" s="25"/>
      <c r="D26" s="25">
        <f>I26*J26/10000</f>
        <v>25.6</v>
      </c>
      <c r="E26" s="25"/>
      <c r="F26" s="25"/>
      <c r="G26" s="25">
        <f t="shared" si="6"/>
        <v>25.6</v>
      </c>
      <c r="H26" s="47" t="s">
        <v>199</v>
      </c>
      <c r="I26" s="25">
        <v>3200</v>
      </c>
      <c r="J26" s="25">
        <v>80</v>
      </c>
      <c r="K26" s="58"/>
    </row>
    <row r="27" s="1" customFormat="1" customHeight="1" spans="1:11">
      <c r="A27" s="28">
        <v>2.13</v>
      </c>
      <c r="B27" s="49" t="s">
        <v>286</v>
      </c>
      <c r="C27" s="25">
        <f t="shared" si="9"/>
        <v>228.48</v>
      </c>
      <c r="D27" s="25"/>
      <c r="E27" s="25"/>
      <c r="F27" s="25"/>
      <c r="G27" s="25">
        <f t="shared" si="6"/>
        <v>228.48</v>
      </c>
      <c r="H27" s="47" t="s">
        <v>16</v>
      </c>
      <c r="I27" s="25">
        <v>7140</v>
      </c>
      <c r="J27" s="25">
        <v>320</v>
      </c>
      <c r="K27" s="58"/>
    </row>
    <row r="28" s="1" customFormat="1" customHeight="1" spans="1:11">
      <c r="A28" s="28">
        <v>2.14</v>
      </c>
      <c r="B28" s="49" t="s">
        <v>287</v>
      </c>
      <c r="C28" s="25">
        <f t="shared" si="9"/>
        <v>5.4</v>
      </c>
      <c r="D28" s="25"/>
      <c r="E28" s="25"/>
      <c r="F28" s="25"/>
      <c r="G28" s="25">
        <f t="shared" si="6"/>
        <v>5.4</v>
      </c>
      <c r="H28" s="47" t="s">
        <v>16</v>
      </c>
      <c r="I28" s="25">
        <v>108</v>
      </c>
      <c r="J28" s="25">
        <v>500</v>
      </c>
      <c r="K28" s="58"/>
    </row>
    <row r="29" s="1" customFormat="1" customHeight="1" spans="1:11">
      <c r="A29" s="28">
        <v>2.15</v>
      </c>
      <c r="B29" s="49" t="s">
        <v>288</v>
      </c>
      <c r="C29" s="25">
        <f t="shared" si="9"/>
        <v>3</v>
      </c>
      <c r="D29" s="25"/>
      <c r="E29" s="25"/>
      <c r="F29" s="25"/>
      <c r="G29" s="25">
        <f t="shared" si="6"/>
        <v>3</v>
      </c>
      <c r="H29" s="47" t="s">
        <v>224</v>
      </c>
      <c r="I29" s="25">
        <v>1</v>
      </c>
      <c r="J29" s="25">
        <v>30000</v>
      </c>
      <c r="K29" s="58"/>
    </row>
    <row r="30" s="5" customFormat="1" customHeight="1" spans="1:20">
      <c r="A30" s="31" t="s">
        <v>17</v>
      </c>
      <c r="B30" s="32" t="s">
        <v>18</v>
      </c>
      <c r="C30" s="19"/>
      <c r="D30" s="33"/>
      <c r="E30" s="33"/>
      <c r="F30" s="20">
        <f>SUM(F31:F47)</f>
        <v>235.648746538002</v>
      </c>
      <c r="G30" s="20">
        <f>SUM(G31:G47)</f>
        <v>235.648746538002</v>
      </c>
      <c r="H30" s="52" t="s">
        <v>130</v>
      </c>
      <c r="I30" s="60"/>
      <c r="J30" s="61"/>
      <c r="K30" s="58">
        <f>G30/G49</f>
        <v>0.0783750299839199</v>
      </c>
      <c r="Q30" s="3"/>
      <c r="R30" s="3"/>
      <c r="S30" s="3"/>
      <c r="T30" s="3"/>
    </row>
    <row r="31" s="2" customFormat="1" customHeight="1" spans="1:20">
      <c r="A31" s="34">
        <v>1</v>
      </c>
      <c r="B31" s="35" t="s">
        <v>144</v>
      </c>
      <c r="C31" s="27"/>
      <c r="D31" s="36"/>
      <c r="E31" s="36"/>
      <c r="F31" s="25">
        <f t="shared" ref="F31:F38" si="10">I31*J31</f>
        <v>24.97698</v>
      </c>
      <c r="G31" s="25">
        <f t="shared" ref="G31:G48" si="11">F31</f>
        <v>24.97698</v>
      </c>
      <c r="H31" s="48" t="s">
        <v>130</v>
      </c>
      <c r="I31" s="25">
        <f>G5</f>
        <v>2497.698</v>
      </c>
      <c r="J31" s="62">
        <v>0.01</v>
      </c>
      <c r="K31" s="63"/>
      <c r="L31" s="64"/>
      <c r="Q31" s="3"/>
      <c r="R31" s="3"/>
      <c r="S31" s="3"/>
      <c r="T31" s="3"/>
    </row>
    <row r="32" s="2" customFormat="1" customHeight="1" spans="1:20">
      <c r="A32" s="34">
        <v>2</v>
      </c>
      <c r="B32" s="35" t="s">
        <v>146</v>
      </c>
      <c r="C32" s="27"/>
      <c r="D32" s="25"/>
      <c r="E32" s="25"/>
      <c r="F32" s="25">
        <f t="shared" si="10"/>
        <v>29.972376</v>
      </c>
      <c r="G32" s="25">
        <f t="shared" si="11"/>
        <v>29.972376</v>
      </c>
      <c r="H32" s="48" t="s">
        <v>130</v>
      </c>
      <c r="I32" s="25">
        <f>G5</f>
        <v>2497.698</v>
      </c>
      <c r="J32" s="62">
        <v>0.012</v>
      </c>
      <c r="K32" s="59"/>
      <c r="Q32" s="73"/>
      <c r="R32" s="73"/>
      <c r="S32" s="73"/>
      <c r="T32" s="73"/>
    </row>
    <row r="33" s="2" customFormat="1" customHeight="1" spans="1:11">
      <c r="A33" s="34">
        <v>3</v>
      </c>
      <c r="B33" s="35" t="s">
        <v>289</v>
      </c>
      <c r="C33" s="27"/>
      <c r="D33" s="25"/>
      <c r="E33" s="25"/>
      <c r="F33" s="25">
        <f t="shared" si="10"/>
        <v>8.741943</v>
      </c>
      <c r="G33" s="25">
        <f t="shared" si="11"/>
        <v>8.741943</v>
      </c>
      <c r="H33" s="48" t="s">
        <v>130</v>
      </c>
      <c r="I33" s="25">
        <f>G5</f>
        <v>2497.698</v>
      </c>
      <c r="J33" s="62">
        <v>0.0035</v>
      </c>
      <c r="K33" s="59"/>
    </row>
    <row r="34" s="2" customFormat="1" customHeight="1" spans="1:11">
      <c r="A34" s="34">
        <v>4</v>
      </c>
      <c r="B34" s="35" t="s">
        <v>290</v>
      </c>
      <c r="C34" s="27"/>
      <c r="D34" s="25"/>
      <c r="E34" s="25"/>
      <c r="F34" s="25">
        <f t="shared" si="10"/>
        <v>13.4875692</v>
      </c>
      <c r="G34" s="25">
        <f t="shared" si="11"/>
        <v>13.4875692</v>
      </c>
      <c r="H34" s="48" t="s">
        <v>130</v>
      </c>
      <c r="I34" s="25">
        <f>G5</f>
        <v>2497.698</v>
      </c>
      <c r="J34" s="62">
        <v>0.0054</v>
      </c>
      <c r="K34" s="59"/>
    </row>
    <row r="35" s="2" customFormat="1" customHeight="1" spans="1:11">
      <c r="A35" s="34">
        <v>5</v>
      </c>
      <c r="B35" s="35" t="s">
        <v>291</v>
      </c>
      <c r="C35" s="27"/>
      <c r="D35" s="25"/>
      <c r="E35" s="25"/>
      <c r="F35" s="25">
        <f t="shared" si="10"/>
        <v>19.981584</v>
      </c>
      <c r="G35" s="25">
        <f t="shared" si="11"/>
        <v>19.981584</v>
      </c>
      <c r="H35" s="48" t="s">
        <v>130</v>
      </c>
      <c r="I35" s="25">
        <f>G5</f>
        <v>2497.698</v>
      </c>
      <c r="J35" s="62">
        <v>0.008</v>
      </c>
      <c r="K35" s="59"/>
    </row>
    <row r="36" s="2" customFormat="1" customHeight="1" spans="1:20">
      <c r="A36" s="34">
        <v>6</v>
      </c>
      <c r="B36" s="35" t="s">
        <v>292</v>
      </c>
      <c r="C36" s="27"/>
      <c r="D36" s="25"/>
      <c r="E36" s="25"/>
      <c r="F36" s="25">
        <f t="shared" si="10"/>
        <v>3.746547</v>
      </c>
      <c r="G36" s="25">
        <f t="shared" si="11"/>
        <v>3.746547</v>
      </c>
      <c r="H36" s="48" t="s">
        <v>130</v>
      </c>
      <c r="I36" s="25">
        <f>G5</f>
        <v>2497.698</v>
      </c>
      <c r="J36" s="62">
        <v>0.0015</v>
      </c>
      <c r="K36" s="59"/>
      <c r="Q36" s="2" t="s">
        <v>293</v>
      </c>
      <c r="R36" s="2" t="s">
        <v>294</v>
      </c>
      <c r="T36" s="2" t="s">
        <v>295</v>
      </c>
    </row>
    <row r="37" s="6" customFormat="1" customHeight="1" spans="1:20">
      <c r="A37" s="34">
        <v>7</v>
      </c>
      <c r="B37" s="37" t="s">
        <v>296</v>
      </c>
      <c r="C37" s="38"/>
      <c r="D37" s="39"/>
      <c r="E37" s="39"/>
      <c r="F37" s="39">
        <f t="shared" si="10"/>
        <v>4.995396</v>
      </c>
      <c r="G37" s="25">
        <f t="shared" si="11"/>
        <v>4.995396</v>
      </c>
      <c r="H37" s="53" t="s">
        <v>130</v>
      </c>
      <c r="I37" s="39">
        <f>G5</f>
        <v>2497.698</v>
      </c>
      <c r="J37" s="65">
        <v>0.002</v>
      </c>
      <c r="K37" s="66"/>
      <c r="N37" s="72"/>
      <c r="Q37" s="72">
        <v>3177.51</v>
      </c>
      <c r="R37" s="72">
        <v>3159.47035926418</v>
      </c>
      <c r="S37" s="72"/>
      <c r="T37" s="72">
        <f>G49</f>
        <v>3006.6814211918</v>
      </c>
    </row>
    <row r="38" s="6" customFormat="1" customHeight="1" spans="1:21">
      <c r="A38" s="34">
        <v>8</v>
      </c>
      <c r="B38" s="37" t="s">
        <v>297</v>
      </c>
      <c r="C38" s="38"/>
      <c r="D38" s="39"/>
      <c r="E38" s="39"/>
      <c r="F38" s="39">
        <f t="shared" si="10"/>
        <v>69.935544</v>
      </c>
      <c r="G38" s="25">
        <f t="shared" si="11"/>
        <v>69.935544</v>
      </c>
      <c r="H38" s="53" t="s">
        <v>130</v>
      </c>
      <c r="I38" s="39">
        <f>G5</f>
        <v>2497.698</v>
      </c>
      <c r="J38" s="65">
        <v>0.028</v>
      </c>
      <c r="K38" s="66"/>
      <c r="Q38" s="72">
        <v>9364.08</v>
      </c>
      <c r="R38" s="72">
        <v>9384.10711563977</v>
      </c>
      <c r="S38" s="72"/>
      <c r="T38" s="72">
        <f>服务基础教育信息技术应用大楼!I50</f>
        <v>6458.35819830888</v>
      </c>
      <c r="U38" s="6">
        <f>T39-T47</f>
        <v>-3094.96038049932</v>
      </c>
    </row>
    <row r="39" s="6" customFormat="1" customHeight="1" spans="1:20">
      <c r="A39" s="34">
        <v>9</v>
      </c>
      <c r="B39" s="37" t="s">
        <v>298</v>
      </c>
      <c r="C39" s="38"/>
      <c r="D39" s="39"/>
      <c r="E39" s="39"/>
      <c r="F39" s="39">
        <f>((I39-1000)*(12-5)/2000+5)</f>
        <v>11.0920620294081</v>
      </c>
      <c r="G39" s="25">
        <f t="shared" si="11"/>
        <v>11.0920620294081</v>
      </c>
      <c r="H39" s="53" t="s">
        <v>130</v>
      </c>
      <c r="I39" s="39">
        <f>G5+G31+G32+G33+G34+G35+G36+G37+G38+G40+G41+G42+G43+G45+G46+G47+(G31+G32+G33+G34+G35+G36+G37+G38+G40+G41+G42+G43+G45+G46+G47)*J48</f>
        <v>2740.58915125945</v>
      </c>
      <c r="J39" s="65">
        <f>G39/I39</f>
        <v>0.00404732756980763</v>
      </c>
      <c r="K39" s="66"/>
      <c r="Q39" s="72">
        <v>12541.59</v>
      </c>
      <c r="R39" s="72">
        <v>12543.577474904</v>
      </c>
      <c r="S39" s="72"/>
      <c r="T39" s="72">
        <f>T37+T38</f>
        <v>9465.03961950068</v>
      </c>
    </row>
    <row r="40" s="6" customFormat="1" customHeight="1" spans="1:20">
      <c r="A40" s="34">
        <v>10</v>
      </c>
      <c r="B40" s="37" t="s">
        <v>299</v>
      </c>
      <c r="C40" s="38"/>
      <c r="D40" s="39"/>
      <c r="E40" s="39"/>
      <c r="F40" s="39">
        <f>((I40-3000)*(14-6)/7000+6)</f>
        <v>5.69636930859429</v>
      </c>
      <c r="G40" s="25">
        <f t="shared" si="11"/>
        <v>5.69636930859429</v>
      </c>
      <c r="H40" s="53" t="s">
        <v>130</v>
      </c>
      <c r="I40" s="39">
        <f>G5+G31+G32+G33+G34+G35+G36+G37+G38+G41+G42+G43+G45+G46+G47+(G31+G32+G33+G34+G35+G36+G37+G38+G41+G42+G43+G45+G46+G47)*J48</f>
        <v>2734.32314502</v>
      </c>
      <c r="J40" s="65">
        <f>G40/I40</f>
        <v>0.00208328314046167</v>
      </c>
      <c r="K40" s="66"/>
      <c r="Q40" s="72"/>
      <c r="R40" s="72"/>
      <c r="S40" s="72"/>
      <c r="T40" s="72"/>
    </row>
    <row r="41" s="6" customFormat="1" customHeight="1" spans="1:21">
      <c r="A41" s="34">
        <v>11</v>
      </c>
      <c r="B41" s="37" t="s">
        <v>216</v>
      </c>
      <c r="C41" s="38"/>
      <c r="D41" s="39"/>
      <c r="E41" s="39"/>
      <c r="F41" s="39">
        <f t="shared" ref="F41:F45" si="12">I41*J41</f>
        <v>3.746547</v>
      </c>
      <c r="G41" s="25">
        <f t="shared" si="11"/>
        <v>3.746547</v>
      </c>
      <c r="H41" s="53" t="s">
        <v>130</v>
      </c>
      <c r="I41" s="39">
        <f>G5</f>
        <v>2497.698</v>
      </c>
      <c r="J41" s="65">
        <v>0.0015</v>
      </c>
      <c r="K41" s="66"/>
      <c r="Q41" s="72">
        <v>-1.98747490394999</v>
      </c>
      <c r="T41" s="6">
        <f>Q39-T39</f>
        <v>3076.55038049932</v>
      </c>
      <c r="U41" s="6">
        <f>T39-R39</f>
        <v>-3078.53785540332</v>
      </c>
    </row>
    <row r="42" s="2" customFormat="1" customHeight="1" spans="1:18">
      <c r="A42" s="34">
        <v>12</v>
      </c>
      <c r="B42" s="35" t="s">
        <v>300</v>
      </c>
      <c r="C42" s="27"/>
      <c r="D42" s="25"/>
      <c r="E42" s="25"/>
      <c r="F42" s="25">
        <f>1+2.8+2.75+(I42-1000)*0.0035</f>
        <v>11.791943</v>
      </c>
      <c r="G42" s="25">
        <f t="shared" si="11"/>
        <v>11.791943</v>
      </c>
      <c r="H42" s="48" t="s">
        <v>130</v>
      </c>
      <c r="I42" s="25">
        <f>G5</f>
        <v>2497.698</v>
      </c>
      <c r="J42" s="62">
        <v>0.0073</v>
      </c>
      <c r="K42" s="59"/>
      <c r="L42" s="64"/>
      <c r="R42" s="2">
        <f>T47-R39</f>
        <v>16.4225250960008</v>
      </c>
    </row>
    <row r="43" s="2" customFormat="1" customHeight="1" spans="1:12">
      <c r="A43" s="34">
        <v>13</v>
      </c>
      <c r="B43" s="35" t="s">
        <v>223</v>
      </c>
      <c r="C43" s="27"/>
      <c r="D43" s="25"/>
      <c r="E43" s="25"/>
      <c r="F43" s="25">
        <f>J43/10000</f>
        <v>5</v>
      </c>
      <c r="G43" s="25">
        <f t="shared" si="11"/>
        <v>5</v>
      </c>
      <c r="H43" s="48" t="s">
        <v>130</v>
      </c>
      <c r="I43" s="25">
        <v>1</v>
      </c>
      <c r="J43" s="25">
        <v>50000</v>
      </c>
      <c r="K43" s="59"/>
      <c r="L43" s="64"/>
    </row>
    <row r="44" s="2" customFormat="1" customHeight="1" spans="1:21">
      <c r="A44" s="34">
        <v>14</v>
      </c>
      <c r="B44" s="35" t="s">
        <v>161</v>
      </c>
      <c r="C44" s="27"/>
      <c r="D44" s="25"/>
      <c r="E44" s="25"/>
      <c r="F44" s="25">
        <f t="shared" si="12"/>
        <v>3.746547</v>
      </c>
      <c r="G44" s="25">
        <f t="shared" si="11"/>
        <v>3.746547</v>
      </c>
      <c r="H44" s="48" t="s">
        <v>130</v>
      </c>
      <c r="I44" s="25">
        <f>G5</f>
        <v>2497.698</v>
      </c>
      <c r="J44" s="62">
        <v>0.0015</v>
      </c>
      <c r="K44" s="59"/>
      <c r="L44" s="64"/>
      <c r="U44" s="2">
        <f>R37-R45</f>
        <v>152.788938072377</v>
      </c>
    </row>
    <row r="45" s="2" customFormat="1" customHeight="1" spans="1:20">
      <c r="A45" s="34">
        <v>15</v>
      </c>
      <c r="B45" s="35" t="s">
        <v>218</v>
      </c>
      <c r="C45" s="27"/>
      <c r="D45" s="25"/>
      <c r="E45" s="25"/>
      <c r="F45" s="25">
        <f t="shared" si="12"/>
        <v>12.48849</v>
      </c>
      <c r="G45" s="25">
        <f t="shared" si="11"/>
        <v>12.48849</v>
      </c>
      <c r="H45" s="48" t="s">
        <v>130</v>
      </c>
      <c r="I45" s="25">
        <f>G5</f>
        <v>2497.698</v>
      </c>
      <c r="J45" s="62">
        <v>0.005</v>
      </c>
      <c r="K45" s="59"/>
      <c r="L45" s="64"/>
      <c r="Q45" s="2">
        <v>3177.51</v>
      </c>
      <c r="R45" s="64">
        <f>G49</f>
        <v>3006.6814211918</v>
      </c>
      <c r="S45" s="64">
        <f>Q45-R45</f>
        <v>170.828578808198</v>
      </c>
      <c r="T45" s="2">
        <v>3920</v>
      </c>
    </row>
    <row r="46" s="2" customFormat="1" customHeight="1" spans="1:20">
      <c r="A46" s="34">
        <v>16</v>
      </c>
      <c r="B46" s="35" t="s">
        <v>225</v>
      </c>
      <c r="C46" s="27"/>
      <c r="D46" s="25"/>
      <c r="E46" s="25"/>
      <c r="F46" s="25">
        <f>I46*J46/10000</f>
        <v>5</v>
      </c>
      <c r="G46" s="25">
        <f t="shared" si="11"/>
        <v>5</v>
      </c>
      <c r="H46" s="48" t="s">
        <v>130</v>
      </c>
      <c r="I46" s="25">
        <v>1</v>
      </c>
      <c r="J46" s="128">
        <v>50000</v>
      </c>
      <c r="K46" s="59"/>
      <c r="L46" s="64"/>
      <c r="Q46" s="2">
        <v>9364.08</v>
      </c>
      <c r="R46" s="64">
        <f>服务基础教育信息技术应用大楼!I50</f>
        <v>6458.35819830888</v>
      </c>
      <c r="S46" s="64">
        <f>Q46-R46</f>
        <v>2905.72180169112</v>
      </c>
      <c r="T46" s="2">
        <v>8640</v>
      </c>
    </row>
    <row r="47" s="2" customFormat="1" customHeight="1" spans="1:20">
      <c r="A47" s="34">
        <v>17</v>
      </c>
      <c r="B47" s="35" t="s">
        <v>301</v>
      </c>
      <c r="C47" s="27"/>
      <c r="D47" s="25"/>
      <c r="E47" s="25"/>
      <c r="F47" s="25">
        <f>I47*J47</f>
        <v>1.248849</v>
      </c>
      <c r="G47" s="25">
        <f t="shared" si="11"/>
        <v>1.248849</v>
      </c>
      <c r="H47" s="48" t="s">
        <v>130</v>
      </c>
      <c r="I47" s="25">
        <f>G5</f>
        <v>2497.698</v>
      </c>
      <c r="J47" s="129">
        <v>0.0005</v>
      </c>
      <c r="K47" s="59"/>
      <c r="L47" s="64"/>
      <c r="Q47" s="2">
        <f t="shared" ref="Q47:T47" si="13">Q45+Q46</f>
        <v>12541.59</v>
      </c>
      <c r="R47" s="64">
        <f t="shared" si="13"/>
        <v>9465.03961950068</v>
      </c>
      <c r="S47" s="64"/>
      <c r="T47" s="2">
        <f t="shared" si="13"/>
        <v>12560</v>
      </c>
    </row>
    <row r="48" s="5" customFormat="1" customHeight="1" spans="1:19">
      <c r="A48" s="31" t="s">
        <v>19</v>
      </c>
      <c r="B48" s="40" t="s">
        <v>25</v>
      </c>
      <c r="C48" s="19"/>
      <c r="D48" s="20"/>
      <c r="E48" s="20"/>
      <c r="F48" s="20">
        <f>I48*J48</f>
        <v>273.3346746538</v>
      </c>
      <c r="G48" s="20">
        <f t="shared" si="11"/>
        <v>273.3346746538</v>
      </c>
      <c r="H48" s="52" t="s">
        <v>130</v>
      </c>
      <c r="I48" s="20">
        <f>G30+G5</f>
        <v>2733.346746538</v>
      </c>
      <c r="J48" s="68">
        <v>0.1</v>
      </c>
      <c r="K48" s="69">
        <f>G48/G49</f>
        <v>0.0909090909090909</v>
      </c>
      <c r="R48" s="130"/>
      <c r="S48" s="130"/>
    </row>
    <row r="49" s="5" customFormat="1" customHeight="1" spans="1:18">
      <c r="A49" s="41" t="s">
        <v>21</v>
      </c>
      <c r="B49" s="42" t="s">
        <v>22</v>
      </c>
      <c r="C49" s="43">
        <f>C5</f>
        <v>2045.048</v>
      </c>
      <c r="D49" s="43">
        <f>D5</f>
        <v>325.15</v>
      </c>
      <c r="E49" s="54"/>
      <c r="F49" s="54">
        <f>F30+F48</f>
        <v>508.983421191803</v>
      </c>
      <c r="G49" s="54">
        <f>G5+G30+G48</f>
        <v>3006.6814211918</v>
      </c>
      <c r="H49" s="55" t="s">
        <v>130</v>
      </c>
      <c r="I49" s="54">
        <f>G5+G30</f>
        <v>2733.346746538</v>
      </c>
      <c r="J49" s="70"/>
      <c r="K49" s="71">
        <v>1</v>
      </c>
      <c r="Q49" s="130">
        <f>Q47-R47</f>
        <v>3076.55038049932</v>
      </c>
      <c r="R49" s="5">
        <f>T47-R47</f>
        <v>3094.96038049932</v>
      </c>
    </row>
  </sheetData>
  <mergeCells count="6">
    <mergeCell ref="A1:K1"/>
    <mergeCell ref="A2:K2"/>
    <mergeCell ref="C3:G3"/>
    <mergeCell ref="H3:J3"/>
    <mergeCell ref="A3:A4"/>
    <mergeCell ref="B3:B4"/>
  </mergeCells>
  <pageMargins left="0.590277777777778" right="0.590277777777778" top="0.590277777777778" bottom="0.590277777777778" header="0.5" footer="0.5"/>
  <pageSetup paperSize="9" scale="7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0"/>
  <sheetViews>
    <sheetView zoomScale="70" zoomScaleNormal="70" zoomScaleSheetLayoutView="85" workbookViewId="0">
      <selection activeCell="J14" sqref="J14"/>
    </sheetView>
  </sheetViews>
  <sheetFormatPr defaultColWidth="10.2666666666667" defaultRowHeight="28" customHeight="1"/>
  <cols>
    <col min="1" max="1" width="11.4571428571429" style="7"/>
    <col min="2" max="2" width="46.5428571428571" style="8" customWidth="1"/>
    <col min="3" max="3" width="20.1809523809524" style="78"/>
    <col min="4" max="4" width="18.5428571428571" style="7"/>
    <col min="5" max="5" width="15.2666666666667" style="8" customWidth="1"/>
    <col min="6" max="6" width="13.5428571428571" style="8" customWidth="1"/>
    <col min="7" max="7" width="17.7238095238095" style="9" customWidth="1"/>
    <col min="8" max="8" width="10.2666666666667" style="7"/>
    <col min="9" max="9" width="20.1809523809524" style="78"/>
    <col min="10" max="10" width="20" style="78"/>
    <col min="11" max="11" width="17.7238095238095" style="8" customWidth="1"/>
    <col min="12" max="12" width="10.2666666666667" style="8"/>
    <col min="13" max="13" width="12" style="8"/>
    <col min="14" max="14" width="14.5428571428571" style="8"/>
    <col min="15" max="15" width="30.3619047619048" style="8" customWidth="1"/>
    <col min="16" max="16" width="27.7238095238095" style="8" customWidth="1"/>
    <col min="17" max="17" width="10.4571428571429" style="8"/>
    <col min="18" max="18" width="24.6285714285714" style="8" customWidth="1"/>
    <col min="19" max="19" width="15.5428571428571" style="8" customWidth="1"/>
    <col min="20" max="16384" width="10.2666666666667" style="8"/>
  </cols>
  <sheetData>
    <row r="1" ht="42" customHeight="1" spans="1:11">
      <c r="A1" s="79" t="s">
        <v>174</v>
      </c>
      <c r="B1" s="79"/>
      <c r="C1" s="80"/>
      <c r="D1" s="79"/>
      <c r="E1" s="79"/>
      <c r="F1" s="79"/>
      <c r="G1" s="98"/>
      <c r="H1" s="79"/>
      <c r="I1" s="80"/>
      <c r="J1" s="80"/>
      <c r="K1" s="79"/>
    </row>
    <row r="2" customHeight="1" spans="1:11">
      <c r="A2" s="11" t="s">
        <v>302</v>
      </c>
      <c r="B2" s="11"/>
      <c r="C2" s="81"/>
      <c r="D2" s="11"/>
      <c r="E2" s="11"/>
      <c r="F2" s="11"/>
      <c r="G2" s="45"/>
      <c r="H2" s="11"/>
      <c r="I2" s="81"/>
      <c r="J2" s="81"/>
      <c r="K2" s="11"/>
    </row>
    <row r="3" ht="37.5" spans="1:11">
      <c r="A3" s="12" t="s">
        <v>1</v>
      </c>
      <c r="B3" s="13" t="s">
        <v>113</v>
      </c>
      <c r="C3" s="14" t="s">
        <v>176</v>
      </c>
      <c r="D3" s="14"/>
      <c r="E3" s="14"/>
      <c r="F3" s="14"/>
      <c r="G3" s="46"/>
      <c r="H3" s="14" t="s">
        <v>115</v>
      </c>
      <c r="I3" s="100"/>
      <c r="J3" s="100"/>
      <c r="K3" s="56" t="s">
        <v>116</v>
      </c>
    </row>
    <row r="4" customHeight="1" spans="1:11">
      <c r="A4" s="15"/>
      <c r="B4" s="16"/>
      <c r="C4" s="16" t="s">
        <v>234</v>
      </c>
      <c r="D4" s="16" t="s">
        <v>257</v>
      </c>
      <c r="E4" s="16" t="s">
        <v>7</v>
      </c>
      <c r="F4" s="16" t="s">
        <v>9</v>
      </c>
      <c r="G4" s="47" t="s">
        <v>10</v>
      </c>
      <c r="H4" s="48" t="s">
        <v>11</v>
      </c>
      <c r="I4" s="48" t="s">
        <v>12</v>
      </c>
      <c r="J4" s="16" t="s">
        <v>267</v>
      </c>
      <c r="K4" s="57"/>
    </row>
    <row r="5" s="1" customFormat="1" customHeight="1" spans="1:11">
      <c r="A5" s="17" t="s">
        <v>14</v>
      </c>
      <c r="B5" s="18" t="s">
        <v>15</v>
      </c>
      <c r="C5" s="20">
        <f t="shared" ref="C5:G5" si="0">C6+C16+C54+C55+C56</f>
        <v>6179.5324</v>
      </c>
      <c r="D5" s="20">
        <f t="shared" si="0"/>
        <v>918.012738</v>
      </c>
      <c r="E5" s="20">
        <f t="shared" si="0"/>
        <v>1095.495902</v>
      </c>
      <c r="F5" s="20"/>
      <c r="G5" s="20">
        <f t="shared" si="0"/>
        <v>8193.04104</v>
      </c>
      <c r="H5" s="18" t="s">
        <v>130</v>
      </c>
      <c r="I5" s="20"/>
      <c r="J5" s="20"/>
      <c r="K5" s="58">
        <f>G5/G76</f>
        <v>0.823121490135211</v>
      </c>
    </row>
    <row r="6" s="74" customFormat="1" customHeight="1" spans="1:18">
      <c r="A6" s="82" t="s">
        <v>118</v>
      </c>
      <c r="B6" s="83" t="s">
        <v>177</v>
      </c>
      <c r="C6" s="20">
        <f t="shared" ref="C6:G6" si="1">SUM(C7:C15)</f>
        <v>5313.3804</v>
      </c>
      <c r="D6" s="20">
        <f t="shared" si="1"/>
        <v>784.422738</v>
      </c>
      <c r="E6" s="20">
        <f t="shared" si="1"/>
        <v>935.695902</v>
      </c>
      <c r="F6" s="20"/>
      <c r="G6" s="20">
        <f t="shared" si="1"/>
        <v>7033.49904</v>
      </c>
      <c r="H6" s="52" t="s">
        <v>130</v>
      </c>
      <c r="I6" s="20"/>
      <c r="J6" s="20"/>
      <c r="K6" s="101"/>
      <c r="P6" s="74">
        <v>300</v>
      </c>
      <c r="R6" s="74">
        <v>4000</v>
      </c>
    </row>
    <row r="7" s="2" customFormat="1" ht="33" customHeight="1" spans="1:11">
      <c r="A7" s="84">
        <v>1</v>
      </c>
      <c r="B7" s="85" t="s">
        <v>303</v>
      </c>
      <c r="C7" s="25">
        <f>I7*J7/10000</f>
        <v>3215.9934</v>
      </c>
      <c r="D7" s="25"/>
      <c r="E7" s="25"/>
      <c r="F7" s="49"/>
      <c r="G7" s="25">
        <f t="shared" ref="G7:G15" si="2">SUM(C7:F7)</f>
        <v>3215.9934</v>
      </c>
      <c r="H7" s="48" t="s">
        <v>16</v>
      </c>
      <c r="I7" s="25">
        <v>13982.58</v>
      </c>
      <c r="J7" s="25">
        <v>2300</v>
      </c>
      <c r="K7" s="59"/>
    </row>
    <row r="8" s="2" customFormat="1" ht="33" customHeight="1" spans="1:11">
      <c r="A8" s="84">
        <v>2</v>
      </c>
      <c r="B8" s="85" t="s">
        <v>304</v>
      </c>
      <c r="C8" s="25">
        <f>I8*J8/10000</f>
        <v>2097.387</v>
      </c>
      <c r="D8" s="25"/>
      <c r="E8" s="25"/>
      <c r="F8" s="49"/>
      <c r="G8" s="25">
        <f t="shared" si="2"/>
        <v>2097.387</v>
      </c>
      <c r="H8" s="48" t="s">
        <v>16</v>
      </c>
      <c r="I8" s="25">
        <v>13982.58</v>
      </c>
      <c r="J8" s="25">
        <v>1500</v>
      </c>
      <c r="K8" s="59"/>
    </row>
    <row r="9" s="2" customFormat="1" customHeight="1" spans="1:11">
      <c r="A9" s="84">
        <v>3</v>
      </c>
      <c r="B9" s="86" t="s">
        <v>305</v>
      </c>
      <c r="C9" s="25"/>
      <c r="D9" s="25">
        <f>I9*J9/10000*0.6</f>
        <v>167.79096</v>
      </c>
      <c r="E9" s="25">
        <f>I9*J9/10000*0.4</f>
        <v>111.86064</v>
      </c>
      <c r="F9" s="49"/>
      <c r="G9" s="25">
        <f t="shared" si="2"/>
        <v>279.6516</v>
      </c>
      <c r="H9" s="48" t="s">
        <v>16</v>
      </c>
      <c r="I9" s="25">
        <v>13982.58</v>
      </c>
      <c r="J9" s="25">
        <v>200</v>
      </c>
      <c r="K9" s="59"/>
    </row>
    <row r="10" s="2" customFormat="1" customHeight="1" spans="1:18">
      <c r="A10" s="84">
        <v>4</v>
      </c>
      <c r="B10" s="87" t="s">
        <v>181</v>
      </c>
      <c r="C10" s="25"/>
      <c r="D10" s="25">
        <f>I10*J10/10000*0.7</f>
        <v>176.180508</v>
      </c>
      <c r="E10" s="25">
        <f>I10*J10/10000*0.3</f>
        <v>75.505932</v>
      </c>
      <c r="F10" s="49"/>
      <c r="G10" s="25">
        <f t="shared" si="2"/>
        <v>251.68644</v>
      </c>
      <c r="H10" s="48" t="s">
        <v>16</v>
      </c>
      <c r="I10" s="25">
        <v>13982.58</v>
      </c>
      <c r="J10" s="25">
        <v>180</v>
      </c>
      <c r="K10" s="59"/>
      <c r="O10" s="109" t="s">
        <v>306</v>
      </c>
      <c r="P10" s="86"/>
      <c r="Q10" s="86"/>
      <c r="R10" s="86"/>
    </row>
    <row r="11" s="2" customFormat="1" customHeight="1" spans="1:18">
      <c r="A11" s="84">
        <v>5</v>
      </c>
      <c r="B11" s="86" t="s">
        <v>182</v>
      </c>
      <c r="C11" s="25"/>
      <c r="D11" s="25">
        <f>I11*J11/10000*0.3</f>
        <v>104.86935</v>
      </c>
      <c r="E11" s="25">
        <f>I11*J11/10000*0.7</f>
        <v>244.69515</v>
      </c>
      <c r="F11" s="49"/>
      <c r="G11" s="25">
        <f t="shared" si="2"/>
        <v>349.5645</v>
      </c>
      <c r="H11" s="48" t="s">
        <v>16</v>
      </c>
      <c r="I11" s="25">
        <v>13982.58</v>
      </c>
      <c r="J11" s="25">
        <v>250</v>
      </c>
      <c r="K11" s="59"/>
      <c r="O11" s="110"/>
      <c r="P11" s="86" t="s">
        <v>307</v>
      </c>
      <c r="Q11" s="86"/>
      <c r="R11" s="86"/>
    </row>
    <row r="12" s="2" customFormat="1" customHeight="1" spans="1:18">
      <c r="A12" s="84">
        <v>6</v>
      </c>
      <c r="B12" s="86" t="s">
        <v>183</v>
      </c>
      <c r="C12" s="25"/>
      <c r="D12" s="25">
        <f>I12*J12/10000*0.3</f>
        <v>125.84322</v>
      </c>
      <c r="E12" s="25">
        <f>I12*J12/10000*0.7</f>
        <v>293.63418</v>
      </c>
      <c r="F12" s="49"/>
      <c r="G12" s="25">
        <f t="shared" si="2"/>
        <v>419.4774</v>
      </c>
      <c r="H12" s="48" t="s">
        <v>16</v>
      </c>
      <c r="I12" s="25">
        <v>13982.58</v>
      </c>
      <c r="J12" s="25">
        <v>300</v>
      </c>
      <c r="K12" s="59"/>
      <c r="O12" s="110"/>
      <c r="P12" s="86"/>
      <c r="Q12" s="86"/>
      <c r="R12" s="86"/>
    </row>
    <row r="13" s="2" customFormat="1" customHeight="1" spans="1:18">
      <c r="A13" s="84">
        <v>7</v>
      </c>
      <c r="B13" s="86" t="s">
        <v>184</v>
      </c>
      <c r="C13" s="25"/>
      <c r="D13" s="25">
        <f>I13*J13/10000</f>
        <v>209.7387</v>
      </c>
      <c r="E13" s="25"/>
      <c r="F13" s="49"/>
      <c r="G13" s="25">
        <f t="shared" si="2"/>
        <v>209.7387</v>
      </c>
      <c r="H13" s="48" t="s">
        <v>16</v>
      </c>
      <c r="I13" s="25">
        <v>13982.58</v>
      </c>
      <c r="J13" s="25">
        <v>150</v>
      </c>
      <c r="K13" s="59"/>
      <c r="O13" s="110"/>
      <c r="P13" s="86" t="s">
        <v>308</v>
      </c>
      <c r="Q13" s="86" t="s">
        <v>309</v>
      </c>
      <c r="R13" s="86" t="s">
        <v>310</v>
      </c>
    </row>
    <row r="14" s="4" customFormat="1" customHeight="1" spans="1:18">
      <c r="A14" s="84">
        <v>8</v>
      </c>
      <c r="B14" s="86" t="s">
        <v>311</v>
      </c>
      <c r="C14" s="25"/>
      <c r="D14" s="25"/>
      <c r="E14" s="25">
        <f>I14*J14/10000</f>
        <v>90</v>
      </c>
      <c r="F14" s="49"/>
      <c r="G14" s="25">
        <f t="shared" si="2"/>
        <v>90</v>
      </c>
      <c r="H14" s="48" t="s">
        <v>127</v>
      </c>
      <c r="I14" s="25">
        <v>3</v>
      </c>
      <c r="J14" s="25">
        <v>300000</v>
      </c>
      <c r="K14" s="59"/>
      <c r="O14" s="110"/>
      <c r="P14" s="86" t="s">
        <v>312</v>
      </c>
      <c r="Q14" s="86" t="s">
        <v>313</v>
      </c>
      <c r="R14" s="86" t="s">
        <v>314</v>
      </c>
    </row>
    <row r="15" s="4" customFormat="1" customHeight="1" spans="1:18">
      <c r="A15" s="84">
        <v>9</v>
      </c>
      <c r="B15" s="86" t="s">
        <v>315</v>
      </c>
      <c r="C15" s="25"/>
      <c r="D15" s="25"/>
      <c r="E15" s="25">
        <f>I15*J15/10000</f>
        <v>120</v>
      </c>
      <c r="F15" s="49"/>
      <c r="G15" s="25">
        <f t="shared" si="2"/>
        <v>120</v>
      </c>
      <c r="H15" s="48" t="s">
        <v>188</v>
      </c>
      <c r="I15" s="25">
        <v>300</v>
      </c>
      <c r="J15" s="25">
        <v>4000</v>
      </c>
      <c r="K15" s="59"/>
      <c r="O15" s="111"/>
      <c r="P15" s="86" t="s">
        <v>316</v>
      </c>
      <c r="Q15" s="86"/>
      <c r="R15" s="86" t="s">
        <v>317</v>
      </c>
    </row>
    <row r="16" s="5" customFormat="1" customHeight="1" spans="1:11">
      <c r="A16" s="21" t="s">
        <v>128</v>
      </c>
      <c r="B16" s="88" t="s">
        <v>129</v>
      </c>
      <c r="C16" s="20">
        <f t="shared" ref="C16:G16" si="3">C17+C18+C19+C20+C21+C22+C23+C24+C37+C44</f>
        <v>808.95</v>
      </c>
      <c r="D16" s="20">
        <f t="shared" si="3"/>
        <v>133.59</v>
      </c>
      <c r="E16" s="20">
        <f t="shared" si="3"/>
        <v>159.8</v>
      </c>
      <c r="F16" s="20"/>
      <c r="G16" s="20">
        <f t="shared" si="3"/>
        <v>1102.34</v>
      </c>
      <c r="H16" s="52" t="s">
        <v>130</v>
      </c>
      <c r="I16" s="20"/>
      <c r="J16" s="20"/>
      <c r="K16" s="102"/>
    </row>
    <row r="17" s="75" customFormat="1" customHeight="1" spans="1:11">
      <c r="A17" s="84">
        <v>1</v>
      </c>
      <c r="B17" s="24" t="s">
        <v>132</v>
      </c>
      <c r="C17" s="30">
        <f t="shared" ref="C17:C22" si="4">I17*J17/10000</f>
        <v>50</v>
      </c>
      <c r="D17" s="24"/>
      <c r="E17" s="24"/>
      <c r="F17" s="24"/>
      <c r="G17" s="30">
        <f t="shared" ref="G17:G23" si="5">SUM(C17:F17)</f>
        <v>50</v>
      </c>
      <c r="H17" s="51" t="s">
        <v>224</v>
      </c>
      <c r="I17" s="30">
        <v>1</v>
      </c>
      <c r="J17" s="30">
        <v>500000</v>
      </c>
      <c r="K17" s="102"/>
    </row>
    <row r="18" s="75" customFormat="1" customHeight="1" spans="1:11">
      <c r="A18" s="84">
        <v>2</v>
      </c>
      <c r="B18" s="24" t="s">
        <v>318</v>
      </c>
      <c r="C18" s="30">
        <f t="shared" si="4"/>
        <v>187.5</v>
      </c>
      <c r="D18" s="24"/>
      <c r="E18" s="24"/>
      <c r="F18" s="24"/>
      <c r="G18" s="30">
        <f t="shared" si="5"/>
        <v>187.5</v>
      </c>
      <c r="H18" s="51" t="s">
        <v>16</v>
      </c>
      <c r="I18" s="30">
        <v>7500</v>
      </c>
      <c r="J18" s="30">
        <v>250</v>
      </c>
      <c r="K18" s="102"/>
    </row>
    <row r="19" s="75" customFormat="1" customHeight="1" spans="1:19">
      <c r="A19" s="84">
        <v>3</v>
      </c>
      <c r="B19" s="3" t="s">
        <v>319</v>
      </c>
      <c r="C19" s="30">
        <f t="shared" si="4"/>
        <v>418</v>
      </c>
      <c r="D19" s="24"/>
      <c r="E19" s="24"/>
      <c r="F19" s="24"/>
      <c r="G19" s="30">
        <f t="shared" si="5"/>
        <v>418</v>
      </c>
      <c r="H19" s="51" t="s">
        <v>16</v>
      </c>
      <c r="I19" s="30">
        <v>11000</v>
      </c>
      <c r="J19" s="30">
        <v>380</v>
      </c>
      <c r="K19" s="102"/>
      <c r="O19" s="109" t="s">
        <v>271</v>
      </c>
      <c r="P19" s="86"/>
      <c r="Q19" s="86"/>
      <c r="R19" s="86"/>
      <c r="S19" s="86"/>
    </row>
    <row r="20" s="75" customFormat="1" customHeight="1" spans="1:19">
      <c r="A20" s="84">
        <v>7</v>
      </c>
      <c r="B20" s="24" t="s">
        <v>320</v>
      </c>
      <c r="C20" s="30">
        <f t="shared" si="4"/>
        <v>27.5</v>
      </c>
      <c r="D20" s="20"/>
      <c r="E20" s="20"/>
      <c r="F20" s="95"/>
      <c r="G20" s="25">
        <f t="shared" si="5"/>
        <v>27.5</v>
      </c>
      <c r="H20" s="48" t="s">
        <v>16</v>
      </c>
      <c r="I20" s="30">
        <v>2500</v>
      </c>
      <c r="J20" s="30">
        <v>110</v>
      </c>
      <c r="K20" s="102"/>
      <c r="O20" s="110"/>
      <c r="P20" s="86" t="s">
        <v>321</v>
      </c>
      <c r="Q20" s="86" t="s">
        <v>322</v>
      </c>
      <c r="R20" s="86" t="s">
        <v>323</v>
      </c>
      <c r="S20" s="86" t="s">
        <v>324</v>
      </c>
    </row>
    <row r="21" s="75" customFormat="1" customHeight="1" spans="1:19">
      <c r="A21" s="84">
        <v>8</v>
      </c>
      <c r="B21" s="3" t="s">
        <v>325</v>
      </c>
      <c r="C21" s="30">
        <f t="shared" si="4"/>
        <v>12.5</v>
      </c>
      <c r="D21" s="20"/>
      <c r="E21" s="20"/>
      <c r="F21" s="95"/>
      <c r="G21" s="25">
        <f t="shared" si="5"/>
        <v>12.5</v>
      </c>
      <c r="H21" s="48" t="s">
        <v>16</v>
      </c>
      <c r="I21" s="30">
        <v>2500</v>
      </c>
      <c r="J21" s="30">
        <v>50</v>
      </c>
      <c r="K21" s="102"/>
      <c r="O21" s="110"/>
      <c r="P21" s="86"/>
      <c r="Q21" s="86" t="s">
        <v>326</v>
      </c>
      <c r="R21" s="86" t="s">
        <v>327</v>
      </c>
      <c r="S21" s="86"/>
    </row>
    <row r="22" s="75" customFormat="1" customHeight="1" spans="1:19">
      <c r="A22" s="84">
        <v>9</v>
      </c>
      <c r="B22" s="3" t="s">
        <v>328</v>
      </c>
      <c r="C22" s="29">
        <f t="shared" si="4"/>
        <v>7.5</v>
      </c>
      <c r="D22" s="20"/>
      <c r="E22" s="20"/>
      <c r="F22" s="95"/>
      <c r="G22" s="25">
        <f t="shared" si="5"/>
        <v>7.5</v>
      </c>
      <c r="H22" s="48" t="s">
        <v>63</v>
      </c>
      <c r="I22" s="29">
        <v>50</v>
      </c>
      <c r="J22" s="29">
        <v>1500</v>
      </c>
      <c r="K22" s="102"/>
      <c r="O22" s="110"/>
      <c r="P22" s="86" t="s">
        <v>329</v>
      </c>
      <c r="Q22" s="86"/>
      <c r="R22" s="86"/>
      <c r="S22" s="86"/>
    </row>
    <row r="23" s="75" customFormat="1" customHeight="1" spans="1:19">
      <c r="A23" s="84">
        <v>10</v>
      </c>
      <c r="B23" s="3" t="s">
        <v>330</v>
      </c>
      <c r="C23" s="29"/>
      <c r="D23" s="30">
        <f t="shared" ref="D23:D29" si="6">I23*J23/10000</f>
        <v>5</v>
      </c>
      <c r="E23" s="20"/>
      <c r="F23" s="95"/>
      <c r="G23" s="25">
        <f t="shared" si="5"/>
        <v>5</v>
      </c>
      <c r="H23" s="48" t="s">
        <v>224</v>
      </c>
      <c r="I23" s="29">
        <v>1</v>
      </c>
      <c r="J23" s="29">
        <v>50000</v>
      </c>
      <c r="K23" s="102"/>
      <c r="O23" s="110"/>
      <c r="P23" s="86"/>
      <c r="Q23" s="86"/>
      <c r="R23" s="86"/>
      <c r="S23" s="86"/>
    </row>
    <row r="24" s="75" customFormat="1" ht="37" customHeight="1" spans="1:19">
      <c r="A24" s="21">
        <v>11</v>
      </c>
      <c r="B24" s="22" t="s">
        <v>193</v>
      </c>
      <c r="C24" s="20">
        <f t="shared" ref="C24:G24" si="7">SUM(C25:C36)</f>
        <v>80.36</v>
      </c>
      <c r="D24" s="20">
        <f t="shared" si="7"/>
        <v>70.71</v>
      </c>
      <c r="E24" s="20"/>
      <c r="F24" s="20"/>
      <c r="G24" s="20">
        <f t="shared" si="7"/>
        <v>151.07</v>
      </c>
      <c r="H24" s="52"/>
      <c r="I24" s="20"/>
      <c r="J24" s="20"/>
      <c r="K24" s="102"/>
      <c r="O24" s="112"/>
      <c r="P24" s="113" t="s">
        <v>331</v>
      </c>
      <c r="Q24" s="113" t="s">
        <v>197</v>
      </c>
      <c r="R24" s="113">
        <v>2</v>
      </c>
      <c r="S24" s="113"/>
    </row>
    <row r="25" s="75" customFormat="1" customHeight="1" spans="1:19">
      <c r="A25" s="89">
        <v>11.1</v>
      </c>
      <c r="B25" s="37" t="s">
        <v>332</v>
      </c>
      <c r="C25" s="20"/>
      <c r="D25" s="30">
        <f t="shared" si="6"/>
        <v>14.25</v>
      </c>
      <c r="E25" s="20"/>
      <c r="F25" s="95"/>
      <c r="G25" s="25">
        <f t="shared" ref="G25:G36" si="8">SUM(C25:F25)</f>
        <v>14.25</v>
      </c>
      <c r="H25" s="53" t="s">
        <v>65</v>
      </c>
      <c r="I25" s="29">
        <v>750</v>
      </c>
      <c r="J25" s="29">
        <v>190</v>
      </c>
      <c r="K25" s="102"/>
      <c r="O25" s="110"/>
      <c r="P25" s="86"/>
      <c r="Q25" s="86"/>
      <c r="R25" s="86"/>
      <c r="S25" s="86"/>
    </row>
    <row r="26" s="75" customFormat="1" customHeight="1" spans="1:19">
      <c r="A26" s="89">
        <v>11.2</v>
      </c>
      <c r="B26" s="37" t="s">
        <v>333</v>
      </c>
      <c r="C26" s="20"/>
      <c r="D26" s="30">
        <f t="shared" si="6"/>
        <v>28.6</v>
      </c>
      <c r="E26" s="20"/>
      <c r="F26" s="95"/>
      <c r="G26" s="25">
        <f t="shared" si="8"/>
        <v>28.6</v>
      </c>
      <c r="H26" s="53" t="s">
        <v>65</v>
      </c>
      <c r="I26" s="29">
        <v>1100</v>
      </c>
      <c r="J26" s="29">
        <v>260</v>
      </c>
      <c r="K26" s="102"/>
      <c r="O26" s="110"/>
      <c r="P26" s="86"/>
      <c r="Q26" s="86"/>
      <c r="R26" s="86"/>
      <c r="S26" s="86"/>
    </row>
    <row r="27" s="75" customFormat="1" customHeight="1" spans="1:19">
      <c r="A27" s="89">
        <v>11.3</v>
      </c>
      <c r="B27" s="37" t="s">
        <v>334</v>
      </c>
      <c r="C27" s="20"/>
      <c r="D27" s="30">
        <f t="shared" si="6"/>
        <v>0.36</v>
      </c>
      <c r="E27" s="20"/>
      <c r="F27" s="95"/>
      <c r="G27" s="25">
        <f t="shared" si="8"/>
        <v>0.36</v>
      </c>
      <c r="H27" s="53" t="s">
        <v>123</v>
      </c>
      <c r="I27" s="29">
        <v>3</v>
      </c>
      <c r="J27" s="29">
        <v>1200</v>
      </c>
      <c r="K27" s="102"/>
      <c r="O27" s="110"/>
      <c r="P27" s="86"/>
      <c r="Q27" s="86"/>
      <c r="R27" s="86"/>
      <c r="S27" s="86"/>
    </row>
    <row r="28" s="75" customFormat="1" customHeight="1" spans="1:19">
      <c r="A28" s="89">
        <v>11.4</v>
      </c>
      <c r="B28" s="37" t="s">
        <v>335</v>
      </c>
      <c r="C28" s="20"/>
      <c r="D28" s="30">
        <f t="shared" si="6"/>
        <v>13.75</v>
      </c>
      <c r="E28" s="20"/>
      <c r="F28" s="95"/>
      <c r="G28" s="25">
        <f t="shared" si="8"/>
        <v>13.75</v>
      </c>
      <c r="H28" s="53" t="s">
        <v>65</v>
      </c>
      <c r="I28" s="29">
        <v>550</v>
      </c>
      <c r="J28" s="29">
        <v>250</v>
      </c>
      <c r="K28" s="102"/>
      <c r="O28" s="110"/>
      <c r="P28" s="86"/>
      <c r="Q28" s="86"/>
      <c r="R28" s="86"/>
      <c r="S28" s="86"/>
    </row>
    <row r="29" s="75" customFormat="1" customHeight="1" spans="1:19">
      <c r="A29" s="89">
        <v>11.5</v>
      </c>
      <c r="B29" s="37" t="s">
        <v>336</v>
      </c>
      <c r="C29" s="20"/>
      <c r="D29" s="30">
        <f t="shared" si="6"/>
        <v>13.75</v>
      </c>
      <c r="E29" s="20"/>
      <c r="F29" s="95"/>
      <c r="G29" s="25">
        <f t="shared" si="8"/>
        <v>13.75</v>
      </c>
      <c r="H29" s="53" t="s">
        <v>65</v>
      </c>
      <c r="I29" s="29">
        <v>550</v>
      </c>
      <c r="J29" s="29">
        <v>250</v>
      </c>
      <c r="K29" s="102"/>
      <c r="O29" s="110"/>
      <c r="P29" s="86"/>
      <c r="Q29" s="86"/>
      <c r="R29" s="86"/>
      <c r="S29" s="86"/>
    </row>
    <row r="30" s="75" customFormat="1" customHeight="1" spans="1:19">
      <c r="A30" s="89">
        <v>11.6</v>
      </c>
      <c r="B30" s="37" t="s">
        <v>337</v>
      </c>
      <c r="C30" s="39">
        <f t="shared" ref="C30:C36" si="9">I30*J30/10000</f>
        <v>10</v>
      </c>
      <c r="D30" s="20"/>
      <c r="E30" s="20"/>
      <c r="F30" s="95"/>
      <c r="G30" s="25">
        <f t="shared" si="8"/>
        <v>10</v>
      </c>
      <c r="H30" s="53" t="s">
        <v>199</v>
      </c>
      <c r="I30" s="29">
        <v>20</v>
      </c>
      <c r="J30" s="29">
        <v>5000</v>
      </c>
      <c r="K30" s="102"/>
      <c r="O30" s="110"/>
      <c r="P30" s="86"/>
      <c r="Q30" s="86"/>
      <c r="R30" s="86"/>
      <c r="S30" s="86"/>
    </row>
    <row r="31" s="75" customFormat="1" customHeight="1" spans="1:19">
      <c r="A31" s="89">
        <v>11.7</v>
      </c>
      <c r="B31" s="37" t="s">
        <v>338</v>
      </c>
      <c r="C31" s="39">
        <f t="shared" si="9"/>
        <v>10</v>
      </c>
      <c r="D31" s="20"/>
      <c r="E31" s="20"/>
      <c r="F31" s="95"/>
      <c r="G31" s="25">
        <f t="shared" si="8"/>
        <v>10</v>
      </c>
      <c r="H31" s="53" t="s">
        <v>199</v>
      </c>
      <c r="I31" s="29">
        <v>20</v>
      </c>
      <c r="J31" s="29">
        <v>5000</v>
      </c>
      <c r="K31" s="102"/>
      <c r="O31" s="110"/>
      <c r="P31" s="86"/>
      <c r="Q31" s="86"/>
      <c r="R31" s="86"/>
      <c r="S31" s="86"/>
    </row>
    <row r="32" s="75" customFormat="1" ht="33" customHeight="1" spans="1:19">
      <c r="A32" s="89">
        <v>11.8</v>
      </c>
      <c r="B32" s="90" t="s">
        <v>339</v>
      </c>
      <c r="C32" s="39">
        <f t="shared" si="9"/>
        <v>1</v>
      </c>
      <c r="D32" s="20"/>
      <c r="E32" s="20"/>
      <c r="F32" s="95"/>
      <c r="G32" s="25">
        <f t="shared" si="8"/>
        <v>1</v>
      </c>
      <c r="H32" s="53" t="s">
        <v>199</v>
      </c>
      <c r="I32" s="29">
        <v>2</v>
      </c>
      <c r="J32" s="29">
        <v>5000</v>
      </c>
      <c r="K32" s="102"/>
      <c r="O32" s="110"/>
      <c r="P32" s="86"/>
      <c r="Q32" s="86"/>
      <c r="R32" s="86"/>
      <c r="S32" s="86"/>
    </row>
    <row r="33" s="75" customFormat="1" customHeight="1" spans="1:19">
      <c r="A33" s="89">
        <v>11.9</v>
      </c>
      <c r="B33" s="37" t="s">
        <v>340</v>
      </c>
      <c r="C33" s="39">
        <f t="shared" si="9"/>
        <v>1</v>
      </c>
      <c r="D33" s="20"/>
      <c r="E33" s="20"/>
      <c r="F33" s="95"/>
      <c r="G33" s="25">
        <f t="shared" si="8"/>
        <v>1</v>
      </c>
      <c r="H33" s="53" t="s">
        <v>199</v>
      </c>
      <c r="I33" s="29">
        <v>2</v>
      </c>
      <c r="J33" s="29">
        <v>5000</v>
      </c>
      <c r="K33" s="102"/>
      <c r="O33" s="110"/>
      <c r="P33" s="86" t="s">
        <v>341</v>
      </c>
      <c r="Q33" s="86" t="s">
        <v>342</v>
      </c>
      <c r="R33" s="86">
        <v>2</v>
      </c>
      <c r="S33" s="86"/>
    </row>
    <row r="34" s="75" customFormat="1" customHeight="1" spans="1:19">
      <c r="A34" s="91">
        <v>11.1</v>
      </c>
      <c r="B34" s="37" t="s">
        <v>343</v>
      </c>
      <c r="C34" s="39">
        <f t="shared" si="9"/>
        <v>1</v>
      </c>
      <c r="D34" s="20"/>
      <c r="E34" s="20"/>
      <c r="F34" s="95"/>
      <c r="G34" s="25">
        <f t="shared" si="8"/>
        <v>1</v>
      </c>
      <c r="H34" s="53" t="s">
        <v>199</v>
      </c>
      <c r="I34" s="29">
        <v>2</v>
      </c>
      <c r="J34" s="29">
        <v>5000</v>
      </c>
      <c r="K34" s="102"/>
      <c r="O34" s="110"/>
      <c r="P34" s="86"/>
      <c r="Q34" s="86"/>
      <c r="R34" s="86"/>
      <c r="S34" s="86"/>
    </row>
    <row r="35" s="75" customFormat="1" customHeight="1" spans="1:19">
      <c r="A35" s="91">
        <v>11.11</v>
      </c>
      <c r="B35" s="37" t="s">
        <v>344</v>
      </c>
      <c r="C35" s="39">
        <f t="shared" si="9"/>
        <v>14.96</v>
      </c>
      <c r="D35" s="20"/>
      <c r="E35" s="20"/>
      <c r="F35" s="95"/>
      <c r="G35" s="25">
        <f t="shared" si="8"/>
        <v>14.96</v>
      </c>
      <c r="H35" s="53" t="s">
        <v>63</v>
      </c>
      <c r="I35" s="29">
        <v>680</v>
      </c>
      <c r="J35" s="29">
        <v>220</v>
      </c>
      <c r="K35" s="103"/>
      <c r="O35" s="110"/>
      <c r="P35" s="86"/>
      <c r="Q35" s="86"/>
      <c r="R35" s="86"/>
      <c r="S35" s="86"/>
    </row>
    <row r="36" s="75" customFormat="1" customHeight="1" spans="1:19">
      <c r="A36" s="91">
        <v>11.12</v>
      </c>
      <c r="B36" s="37" t="s">
        <v>345</v>
      </c>
      <c r="C36" s="39">
        <f t="shared" si="9"/>
        <v>42.4</v>
      </c>
      <c r="D36" s="20"/>
      <c r="E36" s="20"/>
      <c r="F36" s="95"/>
      <c r="G36" s="25">
        <f t="shared" si="8"/>
        <v>42.4</v>
      </c>
      <c r="H36" s="53" t="s">
        <v>63</v>
      </c>
      <c r="I36" s="29">
        <v>5300</v>
      </c>
      <c r="J36" s="29">
        <v>80</v>
      </c>
      <c r="K36" s="102"/>
      <c r="O36" s="110"/>
      <c r="P36" s="86"/>
      <c r="Q36" s="86"/>
      <c r="R36" s="86"/>
      <c r="S36" s="86"/>
    </row>
    <row r="37" s="75" customFormat="1" customHeight="1" spans="1:19">
      <c r="A37" s="92">
        <v>12</v>
      </c>
      <c r="B37" s="40" t="s">
        <v>203</v>
      </c>
      <c r="C37" s="20">
        <f t="shared" ref="C37:G37" si="10">SUM(C38:C43)</f>
        <v>14.35</v>
      </c>
      <c r="D37" s="20">
        <f t="shared" si="10"/>
        <v>10.18</v>
      </c>
      <c r="E37" s="20"/>
      <c r="F37" s="20"/>
      <c r="G37" s="20">
        <f t="shared" si="10"/>
        <v>24.53</v>
      </c>
      <c r="H37" s="52" t="s">
        <v>130</v>
      </c>
      <c r="I37" s="20"/>
      <c r="J37" s="20"/>
      <c r="K37" s="102"/>
      <c r="O37" s="114"/>
      <c r="P37" s="115"/>
      <c r="Q37" s="115"/>
      <c r="R37" s="115"/>
      <c r="S37" s="115"/>
    </row>
    <row r="38" s="75" customFormat="1" customHeight="1" spans="1:19">
      <c r="A38" s="93">
        <v>12.1</v>
      </c>
      <c r="B38" s="37" t="s">
        <v>346</v>
      </c>
      <c r="C38" s="20"/>
      <c r="D38" s="94">
        <f t="shared" ref="D38:D40" si="11">I38*J38/10000</f>
        <v>7.31</v>
      </c>
      <c r="E38" s="20"/>
      <c r="F38" s="95"/>
      <c r="G38" s="25">
        <f t="shared" ref="G38:G43" si="12">SUM(C38:F38)</f>
        <v>7.31</v>
      </c>
      <c r="H38" s="53" t="s">
        <v>65</v>
      </c>
      <c r="I38" s="29">
        <v>170</v>
      </c>
      <c r="J38" s="29">
        <v>430</v>
      </c>
      <c r="K38" s="102"/>
      <c r="O38" s="116"/>
      <c r="P38" s="117"/>
      <c r="Q38" s="117"/>
      <c r="R38" s="117"/>
      <c r="S38" s="117"/>
    </row>
    <row r="39" s="75" customFormat="1" customHeight="1" spans="1:19">
      <c r="A39" s="93">
        <v>12.2</v>
      </c>
      <c r="B39" s="37" t="s">
        <v>347</v>
      </c>
      <c r="C39" s="20"/>
      <c r="D39" s="94">
        <f t="shared" si="11"/>
        <v>2.72</v>
      </c>
      <c r="E39" s="20"/>
      <c r="F39" s="95"/>
      <c r="G39" s="25">
        <f t="shared" si="12"/>
        <v>2.72</v>
      </c>
      <c r="H39" s="53" t="s">
        <v>65</v>
      </c>
      <c r="I39" s="29">
        <v>80</v>
      </c>
      <c r="J39" s="29">
        <v>340</v>
      </c>
      <c r="K39" s="102"/>
      <c r="O39" s="116"/>
      <c r="P39" s="117"/>
      <c r="Q39" s="117"/>
      <c r="R39" s="117"/>
      <c r="S39" s="117"/>
    </row>
    <row r="40" s="75" customFormat="1" customHeight="1" spans="1:19">
      <c r="A40" s="93">
        <v>12.3</v>
      </c>
      <c r="B40" s="37" t="s">
        <v>348</v>
      </c>
      <c r="C40" s="20"/>
      <c r="D40" s="94">
        <f t="shared" si="11"/>
        <v>0.15</v>
      </c>
      <c r="E40" s="20"/>
      <c r="F40" s="95"/>
      <c r="G40" s="25">
        <f t="shared" si="12"/>
        <v>0.15</v>
      </c>
      <c r="H40" s="53" t="s">
        <v>123</v>
      </c>
      <c r="I40" s="29">
        <v>1</v>
      </c>
      <c r="J40" s="29">
        <v>1500</v>
      </c>
      <c r="K40" s="102"/>
      <c r="O40" s="116"/>
      <c r="P40" s="117"/>
      <c r="Q40" s="117"/>
      <c r="R40" s="117"/>
      <c r="S40" s="117"/>
    </row>
    <row r="41" s="75" customFormat="1" customHeight="1" spans="1:19">
      <c r="A41" s="93">
        <v>12.4</v>
      </c>
      <c r="B41" s="37" t="s">
        <v>349</v>
      </c>
      <c r="C41" s="94">
        <f t="shared" ref="C41:C43" si="13">I41*J41/10000</f>
        <v>2.4</v>
      </c>
      <c r="D41" s="20"/>
      <c r="E41" s="20"/>
      <c r="F41" s="95"/>
      <c r="G41" s="25">
        <f t="shared" si="12"/>
        <v>2.4</v>
      </c>
      <c r="H41" s="53" t="s">
        <v>63</v>
      </c>
      <c r="I41" s="29">
        <v>300</v>
      </c>
      <c r="J41" s="29">
        <v>80</v>
      </c>
      <c r="K41" s="102"/>
      <c r="O41" s="116"/>
      <c r="P41" s="117"/>
      <c r="Q41" s="117"/>
      <c r="R41" s="117"/>
      <c r="S41" s="117"/>
    </row>
    <row r="42" s="75" customFormat="1" customHeight="1" spans="1:19">
      <c r="A42" s="93">
        <v>12.5</v>
      </c>
      <c r="B42" s="37" t="s">
        <v>350</v>
      </c>
      <c r="C42" s="94">
        <f t="shared" si="13"/>
        <v>4.95</v>
      </c>
      <c r="D42" s="20"/>
      <c r="E42" s="20"/>
      <c r="F42" s="95"/>
      <c r="G42" s="25">
        <f t="shared" si="12"/>
        <v>4.95</v>
      </c>
      <c r="H42" s="53" t="s">
        <v>63</v>
      </c>
      <c r="I42" s="29">
        <v>225</v>
      </c>
      <c r="J42" s="29">
        <v>220</v>
      </c>
      <c r="K42" s="102"/>
      <c r="O42" s="116"/>
      <c r="P42" s="117"/>
      <c r="Q42" s="117"/>
      <c r="R42" s="117"/>
      <c r="S42" s="117"/>
    </row>
    <row r="43" s="75" customFormat="1" customHeight="1" spans="1:19">
      <c r="A43" s="93">
        <v>12.6</v>
      </c>
      <c r="B43" s="37" t="s">
        <v>329</v>
      </c>
      <c r="C43" s="29">
        <f t="shared" si="13"/>
        <v>7</v>
      </c>
      <c r="D43" s="20"/>
      <c r="E43" s="20"/>
      <c r="F43" s="95"/>
      <c r="G43" s="25">
        <f t="shared" si="12"/>
        <v>7</v>
      </c>
      <c r="H43" s="53" t="s">
        <v>63</v>
      </c>
      <c r="I43" s="29">
        <v>70</v>
      </c>
      <c r="J43" s="29">
        <v>1000</v>
      </c>
      <c r="K43" s="102"/>
      <c r="O43" s="116"/>
      <c r="P43" s="117"/>
      <c r="Q43" s="117"/>
      <c r="R43" s="117"/>
      <c r="S43" s="117"/>
    </row>
    <row r="44" s="75" customFormat="1" customHeight="1" spans="1:19">
      <c r="A44" s="92">
        <v>13</v>
      </c>
      <c r="B44" s="40" t="s">
        <v>207</v>
      </c>
      <c r="C44" s="20">
        <f t="shared" ref="C44:G44" si="14">SUM(C45:C53)</f>
        <v>11.24</v>
      </c>
      <c r="D44" s="20">
        <f t="shared" si="14"/>
        <v>47.7</v>
      </c>
      <c r="E44" s="20">
        <f t="shared" si="14"/>
        <v>159.8</v>
      </c>
      <c r="F44" s="20"/>
      <c r="G44" s="20">
        <f t="shared" si="14"/>
        <v>218.74</v>
      </c>
      <c r="H44" s="52" t="s">
        <v>130</v>
      </c>
      <c r="I44" s="20"/>
      <c r="J44" s="20"/>
      <c r="K44" s="102"/>
      <c r="O44" s="114"/>
      <c r="P44" s="115"/>
      <c r="Q44" s="115"/>
      <c r="R44" s="115"/>
      <c r="S44" s="115"/>
    </row>
    <row r="45" s="75" customFormat="1" customHeight="1" spans="1:19">
      <c r="A45" s="34">
        <v>13.1</v>
      </c>
      <c r="B45" s="35" t="s">
        <v>308</v>
      </c>
      <c r="C45" s="20"/>
      <c r="D45" s="39">
        <f t="shared" ref="D45:D47" si="15">I45*J45/10000*0.15</f>
        <v>9.45</v>
      </c>
      <c r="E45" s="94">
        <f t="shared" ref="E45:E47" si="16">I45*J45/10000*0.85</f>
        <v>53.55</v>
      </c>
      <c r="F45" s="95"/>
      <c r="G45" s="25">
        <f t="shared" ref="G45:G55" si="17">SUM(C45:F45)</f>
        <v>63</v>
      </c>
      <c r="H45" s="47" t="s">
        <v>351</v>
      </c>
      <c r="I45" s="29">
        <v>9</v>
      </c>
      <c r="J45" s="29">
        <v>70000</v>
      </c>
      <c r="K45" s="102"/>
      <c r="O45" s="116"/>
      <c r="P45" s="117"/>
      <c r="Q45" s="117"/>
      <c r="R45" s="117"/>
      <c r="S45" s="117"/>
    </row>
    <row r="46" s="75" customFormat="1" customHeight="1" spans="1:19">
      <c r="A46" s="34">
        <v>13.2</v>
      </c>
      <c r="B46" s="35" t="s">
        <v>316</v>
      </c>
      <c r="C46" s="20"/>
      <c r="D46" s="39">
        <f t="shared" si="15"/>
        <v>11.25</v>
      </c>
      <c r="E46" s="94">
        <f t="shared" si="16"/>
        <v>63.75</v>
      </c>
      <c r="F46" s="95"/>
      <c r="G46" s="25">
        <f t="shared" si="17"/>
        <v>75</v>
      </c>
      <c r="H46" s="47" t="s">
        <v>351</v>
      </c>
      <c r="I46" s="29">
        <v>15</v>
      </c>
      <c r="J46" s="29">
        <v>50000</v>
      </c>
      <c r="K46" s="102"/>
      <c r="O46" s="116"/>
      <c r="P46" s="117"/>
      <c r="Q46" s="117"/>
      <c r="R46" s="117"/>
      <c r="S46" s="117"/>
    </row>
    <row r="47" s="75" customFormat="1" customHeight="1" spans="1:19">
      <c r="A47" s="34">
        <v>13.3</v>
      </c>
      <c r="B47" s="35" t="s">
        <v>352</v>
      </c>
      <c r="C47" s="20"/>
      <c r="D47" s="39">
        <f t="shared" si="15"/>
        <v>7.5</v>
      </c>
      <c r="E47" s="94">
        <f t="shared" si="16"/>
        <v>42.5</v>
      </c>
      <c r="F47" s="95"/>
      <c r="G47" s="25">
        <f t="shared" si="17"/>
        <v>50</v>
      </c>
      <c r="H47" s="47" t="s">
        <v>213</v>
      </c>
      <c r="I47" s="29">
        <v>2</v>
      </c>
      <c r="J47" s="29">
        <v>250000</v>
      </c>
      <c r="K47" s="102"/>
      <c r="O47" s="116"/>
      <c r="P47" s="117"/>
      <c r="Q47" s="117"/>
      <c r="R47" s="117"/>
      <c r="S47" s="117"/>
    </row>
    <row r="48" s="75" customFormat="1" customHeight="1" spans="1:19">
      <c r="A48" s="34">
        <v>13.4</v>
      </c>
      <c r="B48" s="35" t="s">
        <v>353</v>
      </c>
      <c r="C48" s="20"/>
      <c r="D48" s="39">
        <f>I48*J48/10000</f>
        <v>10.5</v>
      </c>
      <c r="E48" s="20"/>
      <c r="F48" s="95"/>
      <c r="G48" s="25">
        <f t="shared" si="17"/>
        <v>10.5</v>
      </c>
      <c r="H48" s="53" t="s">
        <v>65</v>
      </c>
      <c r="I48" s="29">
        <v>500</v>
      </c>
      <c r="J48" s="29">
        <v>210</v>
      </c>
      <c r="K48" s="102"/>
      <c r="O48" s="116"/>
      <c r="P48" s="117"/>
      <c r="Q48" s="117"/>
      <c r="R48" s="117"/>
      <c r="S48" s="117"/>
    </row>
    <row r="49" s="75" customFormat="1" customHeight="1" spans="1:19">
      <c r="A49" s="34">
        <v>13.5</v>
      </c>
      <c r="B49" s="35" t="s">
        <v>354</v>
      </c>
      <c r="C49" s="20"/>
      <c r="D49" s="39">
        <f>I49*J49/10000</f>
        <v>9</v>
      </c>
      <c r="E49" s="20"/>
      <c r="F49" s="95"/>
      <c r="G49" s="25">
        <f t="shared" si="17"/>
        <v>9</v>
      </c>
      <c r="H49" s="53" t="s">
        <v>65</v>
      </c>
      <c r="I49" s="29">
        <v>500</v>
      </c>
      <c r="J49" s="29">
        <v>180</v>
      </c>
      <c r="K49" s="102"/>
      <c r="O49" s="116"/>
      <c r="P49" s="117"/>
      <c r="Q49" s="117"/>
      <c r="R49" s="117"/>
      <c r="S49" s="117"/>
    </row>
    <row r="50" s="75" customFormat="1" customHeight="1" spans="1:19">
      <c r="A50" s="34">
        <v>13.6</v>
      </c>
      <c r="B50" s="35" t="s">
        <v>355</v>
      </c>
      <c r="C50" s="29">
        <f t="shared" ref="C50:C55" si="18">I50*J50/10000</f>
        <v>1.5</v>
      </c>
      <c r="D50" s="20"/>
      <c r="E50" s="20"/>
      <c r="F50" s="95"/>
      <c r="G50" s="25">
        <f t="shared" si="17"/>
        <v>1.5</v>
      </c>
      <c r="H50" s="47" t="s">
        <v>199</v>
      </c>
      <c r="I50" s="29">
        <v>5</v>
      </c>
      <c r="J50" s="29">
        <v>3000</v>
      </c>
      <c r="K50" s="102"/>
      <c r="O50" s="116"/>
      <c r="P50" s="117"/>
      <c r="Q50" s="117"/>
      <c r="R50" s="117"/>
      <c r="S50" s="117"/>
    </row>
    <row r="51" s="75" customFormat="1" customHeight="1" spans="1:19">
      <c r="A51" s="34">
        <v>13.7</v>
      </c>
      <c r="B51" s="35" t="s">
        <v>356</v>
      </c>
      <c r="C51" s="29">
        <f t="shared" si="18"/>
        <v>3</v>
      </c>
      <c r="D51" s="20"/>
      <c r="E51" s="20"/>
      <c r="F51" s="95"/>
      <c r="G51" s="25">
        <f t="shared" si="17"/>
        <v>3</v>
      </c>
      <c r="H51" s="47" t="s">
        <v>199</v>
      </c>
      <c r="I51" s="29">
        <v>10</v>
      </c>
      <c r="J51" s="29">
        <v>3000</v>
      </c>
      <c r="K51" s="102"/>
      <c r="O51" s="116"/>
      <c r="P51" s="117"/>
      <c r="Q51" s="117"/>
      <c r="R51" s="117"/>
      <c r="S51" s="117"/>
    </row>
    <row r="52" s="75" customFormat="1" customHeight="1" spans="1:19">
      <c r="A52" s="34">
        <v>13.8</v>
      </c>
      <c r="B52" s="35" t="s">
        <v>357</v>
      </c>
      <c r="C52" s="29">
        <f t="shared" si="18"/>
        <v>1.5</v>
      </c>
      <c r="D52" s="20"/>
      <c r="E52" s="20"/>
      <c r="F52" s="95"/>
      <c r="G52" s="25">
        <f t="shared" si="17"/>
        <v>1.5</v>
      </c>
      <c r="H52" s="47" t="s">
        <v>199</v>
      </c>
      <c r="I52" s="29">
        <v>5</v>
      </c>
      <c r="J52" s="29">
        <v>3000</v>
      </c>
      <c r="K52" s="102"/>
      <c r="O52" s="116"/>
      <c r="P52" s="117"/>
      <c r="Q52" s="117"/>
      <c r="R52" s="117"/>
      <c r="S52" s="117"/>
    </row>
    <row r="53" s="75" customFormat="1" customHeight="1" spans="1:19">
      <c r="A53" s="34">
        <v>13.9</v>
      </c>
      <c r="B53" s="35" t="s">
        <v>358</v>
      </c>
      <c r="C53" s="29">
        <f t="shared" si="18"/>
        <v>5.24</v>
      </c>
      <c r="D53" s="20"/>
      <c r="E53" s="20"/>
      <c r="F53" s="95"/>
      <c r="G53" s="25">
        <f t="shared" si="17"/>
        <v>5.24</v>
      </c>
      <c r="H53" s="47" t="s">
        <v>63</v>
      </c>
      <c r="I53" s="29">
        <v>655</v>
      </c>
      <c r="J53" s="29">
        <v>80</v>
      </c>
      <c r="K53" s="104"/>
      <c r="O53" s="116"/>
      <c r="P53" s="117"/>
      <c r="Q53" s="117"/>
      <c r="R53" s="117"/>
      <c r="S53" s="117"/>
    </row>
    <row r="54" s="76" customFormat="1" customHeight="1" spans="1:19">
      <c r="A54" s="20" t="s">
        <v>140</v>
      </c>
      <c r="B54" s="95" t="s">
        <v>359</v>
      </c>
      <c r="C54" s="20">
        <f t="shared" si="18"/>
        <v>47.79</v>
      </c>
      <c r="D54" s="20"/>
      <c r="E54" s="20"/>
      <c r="F54" s="20"/>
      <c r="G54" s="20">
        <f t="shared" si="17"/>
        <v>47.79</v>
      </c>
      <c r="H54" s="18" t="s">
        <v>199</v>
      </c>
      <c r="I54" s="20">
        <v>1062</v>
      </c>
      <c r="J54" s="105">
        <v>450</v>
      </c>
      <c r="K54" s="106"/>
      <c r="O54" s="118"/>
      <c r="P54" s="119"/>
      <c r="Q54" s="119"/>
      <c r="R54" s="119"/>
      <c r="S54" s="119"/>
    </row>
    <row r="55" s="76" customFormat="1" customHeight="1" spans="1:19">
      <c r="A55" s="20" t="s">
        <v>360</v>
      </c>
      <c r="B55" s="95" t="s">
        <v>361</v>
      </c>
      <c r="C55" s="20">
        <f t="shared" si="18"/>
        <v>9.412</v>
      </c>
      <c r="D55" s="20"/>
      <c r="E55" s="20"/>
      <c r="F55" s="20"/>
      <c r="G55" s="20">
        <f t="shared" si="17"/>
        <v>9.412</v>
      </c>
      <c r="H55" s="18" t="s">
        <v>199</v>
      </c>
      <c r="I55" s="20">
        <v>724</v>
      </c>
      <c r="J55" s="105">
        <v>130</v>
      </c>
      <c r="K55" s="106"/>
      <c r="O55" s="118"/>
      <c r="P55" s="119"/>
      <c r="Q55" s="119"/>
      <c r="R55" s="119"/>
      <c r="S55" s="119"/>
    </row>
    <row r="56" s="77" customFormat="1" customHeight="1" spans="1:19">
      <c r="A56" s="96" t="s">
        <v>362</v>
      </c>
      <c r="B56" s="97" t="s">
        <v>363</v>
      </c>
      <c r="C56" s="20"/>
      <c r="D56" s="96"/>
      <c r="E56" s="96"/>
      <c r="F56" s="96"/>
      <c r="G56" s="20"/>
      <c r="H56" s="99" t="s">
        <v>224</v>
      </c>
      <c r="I56" s="96"/>
      <c r="J56" s="96"/>
      <c r="K56" s="107"/>
      <c r="O56" s="120"/>
      <c r="P56" s="120"/>
      <c r="Q56" s="120"/>
      <c r="R56" s="120"/>
      <c r="S56" s="120"/>
    </row>
    <row r="57" s="5" customFormat="1" customHeight="1" spans="1:11">
      <c r="A57" s="31" t="s">
        <v>17</v>
      </c>
      <c r="B57" s="32" t="s">
        <v>18</v>
      </c>
      <c r="C57" s="20"/>
      <c r="D57" s="33"/>
      <c r="E57" s="33"/>
      <c r="F57" s="20">
        <f>SUM(F58:F74)</f>
        <v>855.707190409143</v>
      </c>
      <c r="G57" s="20">
        <f>SUM(G58:G74)</f>
        <v>855.707190409143</v>
      </c>
      <c r="H57" s="52" t="s">
        <v>130</v>
      </c>
      <c r="I57" s="105"/>
      <c r="J57" s="105"/>
      <c r="K57" s="108">
        <f>G57/G76</f>
        <v>0.0859694189556981</v>
      </c>
    </row>
    <row r="58" s="2" customFormat="1" customHeight="1" spans="1:11">
      <c r="A58" s="34">
        <v>1</v>
      </c>
      <c r="B58" s="35" t="s">
        <v>144</v>
      </c>
      <c r="C58" s="25"/>
      <c r="D58" s="36"/>
      <c r="E58" s="36"/>
      <c r="F58" s="25">
        <f>I58*J58</f>
        <v>122.8956156</v>
      </c>
      <c r="G58" s="25">
        <f t="shared" ref="G58:G75" si="19">F58</f>
        <v>122.8956156</v>
      </c>
      <c r="H58" s="48" t="s">
        <v>130</v>
      </c>
      <c r="I58" s="29">
        <f>G5</f>
        <v>8193.04104</v>
      </c>
      <c r="J58" s="65">
        <v>0.015</v>
      </c>
      <c r="K58" s="104"/>
    </row>
    <row r="59" s="2" customFormat="1" customHeight="1" spans="1:11">
      <c r="A59" s="34">
        <v>2</v>
      </c>
      <c r="B59" s="35" t="s">
        <v>146</v>
      </c>
      <c r="C59" s="25"/>
      <c r="D59" s="25"/>
      <c r="E59" s="25"/>
      <c r="F59" s="25">
        <f>((I59-8000)*(218.6-181)/2000+181)</f>
        <v>184.629171552</v>
      </c>
      <c r="G59" s="25">
        <f t="shared" si="19"/>
        <v>184.629171552</v>
      </c>
      <c r="H59" s="48" t="s">
        <v>130</v>
      </c>
      <c r="I59" s="29">
        <f>G5</f>
        <v>8193.04104</v>
      </c>
      <c r="J59" s="65">
        <f t="shared" ref="J59:J61" si="20">G59/I59</f>
        <v>0.0225348769340474</v>
      </c>
      <c r="K59" s="104"/>
    </row>
    <row r="60" s="6" customFormat="1" customHeight="1" spans="1:14">
      <c r="A60" s="93">
        <v>3</v>
      </c>
      <c r="B60" s="37" t="s">
        <v>364</v>
      </c>
      <c r="C60" s="39"/>
      <c r="D60" s="39"/>
      <c r="E60" s="39"/>
      <c r="F60" s="39">
        <f>((I60-3000)*(28-12)/7000+12)</f>
        <v>23.8698080914286</v>
      </c>
      <c r="G60" s="39">
        <f t="shared" si="19"/>
        <v>23.8698080914286</v>
      </c>
      <c r="H60" s="53" t="s">
        <v>130</v>
      </c>
      <c r="I60" s="29">
        <f>G5</f>
        <v>8193.04104</v>
      </c>
      <c r="J60" s="65">
        <f t="shared" si="20"/>
        <v>0.00291342469479789</v>
      </c>
      <c r="K60" s="104"/>
      <c r="N60" s="72"/>
    </row>
    <row r="61" s="6" customFormat="1" customHeight="1" spans="1:14">
      <c r="A61" s="34">
        <v>4</v>
      </c>
      <c r="B61" s="37" t="s">
        <v>220</v>
      </c>
      <c r="C61" s="39"/>
      <c r="D61" s="39"/>
      <c r="E61" s="39"/>
      <c r="F61" s="39">
        <f>((I61-3000)*(14-6)/7000+6)</f>
        <v>11.9349040457143</v>
      </c>
      <c r="G61" s="39">
        <f t="shared" si="19"/>
        <v>11.9349040457143</v>
      </c>
      <c r="H61" s="53" t="s">
        <v>130</v>
      </c>
      <c r="I61" s="29">
        <f>G5</f>
        <v>8193.04104</v>
      </c>
      <c r="J61" s="65">
        <f t="shared" si="20"/>
        <v>0.00145671234739894</v>
      </c>
      <c r="K61" s="104"/>
      <c r="N61" s="72"/>
    </row>
    <row r="62" s="6" customFormat="1" customHeight="1" spans="1:11">
      <c r="A62" s="34">
        <v>5</v>
      </c>
      <c r="B62" s="37" t="s">
        <v>289</v>
      </c>
      <c r="C62" s="39"/>
      <c r="D62" s="39"/>
      <c r="E62" s="39"/>
      <c r="F62" s="39">
        <f t="shared" ref="F62:F66" si="21">I62*J62</f>
        <v>28.67564364</v>
      </c>
      <c r="G62" s="39">
        <f t="shared" si="19"/>
        <v>28.67564364</v>
      </c>
      <c r="H62" s="53" t="s">
        <v>130</v>
      </c>
      <c r="I62" s="29">
        <f>G5</f>
        <v>8193.04104</v>
      </c>
      <c r="J62" s="65">
        <v>0.0035</v>
      </c>
      <c r="K62" s="104"/>
    </row>
    <row r="63" s="6" customFormat="1" customHeight="1" spans="1:11">
      <c r="A63" s="93">
        <v>6</v>
      </c>
      <c r="B63" s="37" t="s">
        <v>147</v>
      </c>
      <c r="C63" s="39"/>
      <c r="D63" s="39"/>
      <c r="E63" s="39"/>
      <c r="F63" s="39">
        <f>((I63-8000)*(304.8-249.6)/2000+249.6)</f>
        <v>254.927932704</v>
      </c>
      <c r="G63" s="39">
        <f t="shared" si="19"/>
        <v>254.927932704</v>
      </c>
      <c r="H63" s="53" t="s">
        <v>130</v>
      </c>
      <c r="I63" s="29">
        <f>G5</f>
        <v>8193.04104</v>
      </c>
      <c r="J63" s="65">
        <f>F63/I63</f>
        <v>0.0311151782908682</v>
      </c>
      <c r="K63" s="104"/>
    </row>
    <row r="64" s="6" customFormat="1" customHeight="1" spans="1:11">
      <c r="A64" s="93">
        <v>7</v>
      </c>
      <c r="B64" s="37" t="s">
        <v>216</v>
      </c>
      <c r="C64" s="39"/>
      <c r="D64" s="39"/>
      <c r="E64" s="39"/>
      <c r="F64" s="39">
        <f t="shared" si="21"/>
        <v>12.28956156</v>
      </c>
      <c r="G64" s="39">
        <f t="shared" si="19"/>
        <v>12.28956156</v>
      </c>
      <c r="H64" s="53" t="s">
        <v>130</v>
      </c>
      <c r="I64" s="29">
        <f>G5</f>
        <v>8193.04104</v>
      </c>
      <c r="J64" s="65">
        <v>0.0015</v>
      </c>
      <c r="K64" s="104"/>
    </row>
    <row r="65" s="2" customFormat="1" customHeight="1" spans="1:11">
      <c r="A65" s="34">
        <v>8</v>
      </c>
      <c r="B65" s="35" t="s">
        <v>291</v>
      </c>
      <c r="C65" s="25"/>
      <c r="D65" s="25"/>
      <c r="E65" s="25"/>
      <c r="F65" s="25">
        <f t="shared" si="21"/>
        <v>57.35128728</v>
      </c>
      <c r="G65" s="25">
        <f t="shared" si="19"/>
        <v>57.35128728</v>
      </c>
      <c r="H65" s="48" t="s">
        <v>130</v>
      </c>
      <c r="I65" s="29">
        <f>G5</f>
        <v>8193.04104</v>
      </c>
      <c r="J65" s="65">
        <v>0.007</v>
      </c>
      <c r="K65" s="104"/>
    </row>
    <row r="66" s="2" customFormat="1" customHeight="1" spans="1:11">
      <c r="A66" s="34">
        <v>9</v>
      </c>
      <c r="B66" s="35" t="s">
        <v>148</v>
      </c>
      <c r="C66" s="25"/>
      <c r="D66" s="25"/>
      <c r="E66" s="25"/>
      <c r="F66" s="25">
        <f t="shared" si="21"/>
        <v>44.242421616</v>
      </c>
      <c r="G66" s="39">
        <f t="shared" si="19"/>
        <v>44.242421616</v>
      </c>
      <c r="H66" s="48" t="s">
        <v>130</v>
      </c>
      <c r="I66" s="29">
        <f>G5</f>
        <v>8193.04104</v>
      </c>
      <c r="J66" s="65">
        <v>0.0054</v>
      </c>
      <c r="K66" s="104"/>
    </row>
    <row r="67" s="2" customFormat="1" customHeight="1" spans="1:11">
      <c r="A67" s="34">
        <v>10</v>
      </c>
      <c r="B67" s="35" t="s">
        <v>300</v>
      </c>
      <c r="C67" s="25"/>
      <c r="D67" s="25"/>
      <c r="E67" s="25"/>
      <c r="F67" s="25">
        <f>1+2.8+2.75+14+(I67-5000)*0.002</f>
        <v>26.93608208</v>
      </c>
      <c r="G67" s="25">
        <f t="shared" si="19"/>
        <v>26.93608208</v>
      </c>
      <c r="H67" s="48" t="s">
        <v>130</v>
      </c>
      <c r="I67" s="29">
        <f>G5</f>
        <v>8193.04104</v>
      </c>
      <c r="J67" s="65">
        <f>G67/I67</f>
        <v>0.003287678158634</v>
      </c>
      <c r="K67" s="104"/>
    </row>
    <row r="68" s="2" customFormat="1" customHeight="1" spans="1:11">
      <c r="A68" s="34">
        <v>11</v>
      </c>
      <c r="B68" s="35" t="s">
        <v>218</v>
      </c>
      <c r="C68" s="25"/>
      <c r="D68" s="25"/>
      <c r="E68" s="25"/>
      <c r="F68" s="25">
        <f>I68*J68</f>
        <v>40.9652052</v>
      </c>
      <c r="G68" s="25">
        <f t="shared" si="19"/>
        <v>40.9652052</v>
      </c>
      <c r="H68" s="48" t="s">
        <v>130</v>
      </c>
      <c r="I68" s="29">
        <f>G5</f>
        <v>8193.04104</v>
      </c>
      <c r="J68" s="65">
        <v>0.005</v>
      </c>
      <c r="K68" s="104"/>
    </row>
    <row r="69" s="2" customFormat="1" customHeight="1" spans="1:11">
      <c r="A69" s="93">
        <v>12</v>
      </c>
      <c r="B69" s="35" t="s">
        <v>365</v>
      </c>
      <c r="C69" s="25"/>
      <c r="D69" s="25"/>
      <c r="E69" s="25"/>
      <c r="F69" s="25">
        <f>I69*J69</f>
        <v>8.19304104</v>
      </c>
      <c r="G69" s="39">
        <f t="shared" si="19"/>
        <v>8.19304104</v>
      </c>
      <c r="H69" s="48" t="s">
        <v>130</v>
      </c>
      <c r="I69" s="29">
        <f>G5</f>
        <v>8193.04104</v>
      </c>
      <c r="J69" s="65">
        <v>0.001</v>
      </c>
      <c r="K69" s="104"/>
    </row>
    <row r="70" s="2" customFormat="1" customHeight="1" spans="1:11">
      <c r="A70" s="34">
        <v>13</v>
      </c>
      <c r="B70" s="35" t="s">
        <v>223</v>
      </c>
      <c r="C70" s="25"/>
      <c r="D70" s="25"/>
      <c r="E70" s="25"/>
      <c r="F70" s="25">
        <f t="shared" ref="F70:F74" si="22">I70*J70/10000</f>
        <v>20</v>
      </c>
      <c r="G70" s="25">
        <f t="shared" si="19"/>
        <v>20</v>
      </c>
      <c r="H70" s="48" t="s">
        <v>130</v>
      </c>
      <c r="I70" s="29">
        <v>1</v>
      </c>
      <c r="J70" s="29">
        <v>200000</v>
      </c>
      <c r="K70" s="104"/>
    </row>
    <row r="71" s="2" customFormat="1" customHeight="1" spans="1:11">
      <c r="A71" s="34">
        <v>14</v>
      </c>
      <c r="B71" s="35" t="s">
        <v>366</v>
      </c>
      <c r="C71" s="25"/>
      <c r="D71" s="25"/>
      <c r="E71" s="25"/>
      <c r="F71" s="25">
        <f>I71*2/10000</f>
        <v>2.796516</v>
      </c>
      <c r="G71" s="25">
        <f t="shared" si="19"/>
        <v>2.796516</v>
      </c>
      <c r="H71" s="48" t="s">
        <v>16</v>
      </c>
      <c r="I71" s="29">
        <v>13982.58</v>
      </c>
      <c r="J71" s="29" t="s">
        <v>367</v>
      </c>
      <c r="K71" s="104"/>
    </row>
    <row r="72" s="2" customFormat="1" customHeight="1" spans="1:11">
      <c r="A72" s="93">
        <v>15</v>
      </c>
      <c r="B72" s="35" t="s">
        <v>368</v>
      </c>
      <c r="C72" s="25"/>
      <c r="D72" s="25"/>
      <c r="E72" s="25"/>
      <c r="F72" s="25">
        <f t="shared" si="22"/>
        <v>5</v>
      </c>
      <c r="G72" s="25">
        <f t="shared" si="19"/>
        <v>5</v>
      </c>
      <c r="H72" s="48" t="s">
        <v>130</v>
      </c>
      <c r="I72" s="29">
        <v>1</v>
      </c>
      <c r="J72" s="29">
        <v>50000</v>
      </c>
      <c r="K72" s="104"/>
    </row>
    <row r="73" s="2" customFormat="1" customHeight="1" spans="1:11">
      <c r="A73" s="93">
        <v>16</v>
      </c>
      <c r="B73" s="35" t="s">
        <v>369</v>
      </c>
      <c r="C73" s="25"/>
      <c r="D73" s="25"/>
      <c r="E73" s="25"/>
      <c r="F73" s="25">
        <f t="shared" si="22"/>
        <v>5</v>
      </c>
      <c r="G73" s="25">
        <f t="shared" si="19"/>
        <v>5</v>
      </c>
      <c r="H73" s="48" t="s">
        <v>130</v>
      </c>
      <c r="I73" s="29">
        <v>1</v>
      </c>
      <c r="J73" s="29">
        <v>50000</v>
      </c>
      <c r="K73" s="104"/>
    </row>
    <row r="74" s="2" customFormat="1" customHeight="1" spans="1:11">
      <c r="A74" s="93">
        <v>17</v>
      </c>
      <c r="B74" s="35" t="s">
        <v>159</v>
      </c>
      <c r="C74" s="25"/>
      <c r="D74" s="25"/>
      <c r="E74" s="25"/>
      <c r="F74" s="25">
        <f t="shared" si="22"/>
        <v>6</v>
      </c>
      <c r="G74" s="25">
        <f t="shared" si="19"/>
        <v>6</v>
      </c>
      <c r="H74" s="48" t="s">
        <v>370</v>
      </c>
      <c r="I74" s="29">
        <v>500</v>
      </c>
      <c r="J74" s="29">
        <f>80*1.5</f>
        <v>120</v>
      </c>
      <c r="K74" s="104"/>
    </row>
    <row r="75" s="5" customFormat="1" customHeight="1" spans="1:11">
      <c r="A75" s="31" t="s">
        <v>19</v>
      </c>
      <c r="B75" s="40" t="s">
        <v>25</v>
      </c>
      <c r="C75" s="20"/>
      <c r="D75" s="20"/>
      <c r="E75" s="20"/>
      <c r="F75" s="20">
        <f>I75*J75</f>
        <v>904.874823040914</v>
      </c>
      <c r="G75" s="20">
        <f t="shared" si="19"/>
        <v>904.874823040914</v>
      </c>
      <c r="H75" s="52" t="s">
        <v>130</v>
      </c>
      <c r="I75" s="20">
        <f>G57+G5</f>
        <v>9048.74823040914</v>
      </c>
      <c r="J75" s="68">
        <v>0.1</v>
      </c>
      <c r="K75" s="121">
        <f>G75/G76</f>
        <v>0.0909090909090909</v>
      </c>
    </row>
    <row r="76" s="5" customFormat="1" customHeight="1" spans="1:11">
      <c r="A76" s="41" t="s">
        <v>21</v>
      </c>
      <c r="B76" s="42" t="s">
        <v>22</v>
      </c>
      <c r="C76" s="54">
        <f>C5</f>
        <v>6179.5324</v>
      </c>
      <c r="D76" s="43">
        <f>D5</f>
        <v>918.012738</v>
      </c>
      <c r="E76" s="54"/>
      <c r="F76" s="54">
        <f>F57+F75</f>
        <v>1760.58201345006</v>
      </c>
      <c r="G76" s="54">
        <f>G5+G57+G75</f>
        <v>9953.62305345006</v>
      </c>
      <c r="H76" s="55" t="s">
        <v>130</v>
      </c>
      <c r="I76" s="70"/>
      <c r="J76" s="70"/>
      <c r="K76" s="71">
        <v>1</v>
      </c>
    </row>
    <row r="79" customHeight="1" spans="7:7">
      <c r="G79" s="9">
        <f>86400000/10000</f>
        <v>8640</v>
      </c>
    </row>
    <row r="80" customHeight="1" spans="7:7">
      <c r="G80" s="9">
        <f>G76-G79</f>
        <v>1313.62305345006</v>
      </c>
    </row>
  </sheetData>
  <mergeCells count="8">
    <mergeCell ref="A1:K1"/>
    <mergeCell ref="A2:K2"/>
    <mergeCell ref="C3:G3"/>
    <mergeCell ref="H3:J3"/>
    <mergeCell ref="A3:A4"/>
    <mergeCell ref="B3:B4"/>
    <mergeCell ref="O10:O15"/>
    <mergeCell ref="O19:O36"/>
  </mergeCells>
  <pageMargins left="0.590277777777778" right="0.590277777777778" top="0.590277777777778" bottom="0.590277777777778" header="0.5" footer="0.5"/>
  <pageSetup paperSize="9" scale="7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6"/>
  <sheetViews>
    <sheetView zoomScale="70" zoomScaleNormal="70" zoomScaleSheetLayoutView="85" workbookViewId="0">
      <selection activeCell="G11" sqref="G11"/>
    </sheetView>
  </sheetViews>
  <sheetFormatPr defaultColWidth="10.2666666666667" defaultRowHeight="28" customHeight="1"/>
  <cols>
    <col min="1" max="1" width="10.4571428571429" style="7"/>
    <col min="2" max="2" width="40.6285714285714" style="8" customWidth="1"/>
    <col min="3" max="3" width="16" style="7"/>
    <col min="4" max="4" width="18.5428571428571" style="7"/>
    <col min="5" max="5" width="15.2666666666667" style="8" customWidth="1"/>
    <col min="6" max="6" width="13.5428571428571" style="8" customWidth="1"/>
    <col min="7" max="7" width="16" style="9"/>
    <col min="8" max="8" width="10.2666666666667" style="7"/>
    <col min="9" max="9" width="20.1809523809524" style="7"/>
    <col min="10" max="10" width="20" style="7"/>
    <col min="11" max="11" width="17.7238095238095" style="8" customWidth="1"/>
    <col min="12" max="12" width="16.1809523809524" style="8" hidden="1" customWidth="1"/>
    <col min="13" max="13" width="10.2666666666667" style="8" hidden="1" customWidth="1"/>
    <col min="14" max="14" width="14.4571428571429" style="8" hidden="1" customWidth="1"/>
    <col min="15" max="16" width="10.2666666666667" style="8"/>
    <col min="17" max="17" width="27.5428571428571" style="8" customWidth="1"/>
    <col min="18" max="18" width="16.2666666666667" style="8"/>
    <col min="19" max="19" width="23.2666666666667" style="8" customWidth="1"/>
    <col min="20" max="16384" width="10.2666666666667" style="8"/>
  </cols>
  <sheetData>
    <row r="1" ht="42" customHeight="1" spans="1:11">
      <c r="A1" s="10" t="s">
        <v>174</v>
      </c>
      <c r="B1" s="10"/>
      <c r="C1" s="10"/>
      <c r="D1" s="10"/>
      <c r="E1" s="10"/>
      <c r="F1" s="10"/>
      <c r="G1" s="44"/>
      <c r="H1" s="10"/>
      <c r="I1" s="10"/>
      <c r="J1" s="10"/>
      <c r="K1" s="10"/>
    </row>
    <row r="2" customHeight="1" spans="1:11">
      <c r="A2" s="11" t="s">
        <v>371</v>
      </c>
      <c r="B2" s="11"/>
      <c r="C2" s="11"/>
      <c r="D2" s="11"/>
      <c r="E2" s="11"/>
      <c r="F2" s="11"/>
      <c r="G2" s="45"/>
      <c r="H2" s="11"/>
      <c r="I2" s="11"/>
      <c r="J2" s="11"/>
      <c r="K2" s="11"/>
    </row>
    <row r="3" ht="37.5" spans="1:11">
      <c r="A3" s="12" t="s">
        <v>1</v>
      </c>
      <c r="B3" s="13" t="s">
        <v>113</v>
      </c>
      <c r="C3" s="14" t="s">
        <v>176</v>
      </c>
      <c r="D3" s="14"/>
      <c r="E3" s="14"/>
      <c r="F3" s="14"/>
      <c r="G3" s="46"/>
      <c r="H3" s="14" t="s">
        <v>115</v>
      </c>
      <c r="I3" s="14"/>
      <c r="J3" s="14"/>
      <c r="K3" s="56" t="s">
        <v>116</v>
      </c>
    </row>
    <row r="4" customHeight="1" spans="1:11">
      <c r="A4" s="15"/>
      <c r="B4" s="16"/>
      <c r="C4" s="16" t="s">
        <v>234</v>
      </c>
      <c r="D4" s="16" t="s">
        <v>257</v>
      </c>
      <c r="E4" s="16" t="s">
        <v>7</v>
      </c>
      <c r="F4" s="16" t="s">
        <v>9</v>
      </c>
      <c r="G4" s="47" t="s">
        <v>10</v>
      </c>
      <c r="H4" s="48" t="s">
        <v>11</v>
      </c>
      <c r="I4" s="48" t="s">
        <v>12</v>
      </c>
      <c r="J4" s="16" t="s">
        <v>267</v>
      </c>
      <c r="K4" s="57"/>
    </row>
    <row r="5" s="1" customFormat="1" customHeight="1" spans="1:11">
      <c r="A5" s="17" t="s">
        <v>14</v>
      </c>
      <c r="B5" s="18" t="s">
        <v>15</v>
      </c>
      <c r="C5" s="19">
        <f t="shared" ref="C5:G5" si="0">C6+C11</f>
        <v>1920.01</v>
      </c>
      <c r="D5" s="20">
        <f t="shared" si="0"/>
        <v>234.55</v>
      </c>
      <c r="E5" s="19"/>
      <c r="F5" s="20"/>
      <c r="G5" s="19">
        <f t="shared" si="0"/>
        <v>2154.56</v>
      </c>
      <c r="H5" s="18" t="s">
        <v>130</v>
      </c>
      <c r="I5" s="20"/>
      <c r="J5" s="18"/>
      <c r="K5" s="58">
        <f>G5/G46</f>
        <v>0.8182528651622</v>
      </c>
    </row>
    <row r="6" s="1" customFormat="1" customHeight="1" spans="1:11">
      <c r="A6" s="21">
        <v>1</v>
      </c>
      <c r="B6" s="22" t="s">
        <v>268</v>
      </c>
      <c r="C6" s="19">
        <f t="shared" ref="C6:G6" si="1">SUM(C7:C10)</f>
        <v>742.5</v>
      </c>
      <c r="D6" s="19">
        <f t="shared" si="1"/>
        <v>89.1</v>
      </c>
      <c r="E6" s="19"/>
      <c r="F6" s="19"/>
      <c r="G6" s="19">
        <f t="shared" si="1"/>
        <v>831.6</v>
      </c>
      <c r="H6" s="18"/>
      <c r="I6" s="20"/>
      <c r="J6" s="18"/>
      <c r="K6" s="58"/>
    </row>
    <row r="7" s="1" customFormat="1" customHeight="1" spans="1:11">
      <c r="A7" s="23">
        <v>1.1</v>
      </c>
      <c r="B7" s="24" t="s">
        <v>372</v>
      </c>
      <c r="C7" s="25">
        <f>I7*J7/10000</f>
        <v>742.5</v>
      </c>
      <c r="D7" s="20"/>
      <c r="E7" s="20"/>
      <c r="F7" s="18"/>
      <c r="G7" s="25">
        <f t="shared" ref="G7:G10" si="2">SUM(C7:F7)</f>
        <v>742.5</v>
      </c>
      <c r="H7" s="48" t="s">
        <v>16</v>
      </c>
      <c r="I7" s="25">
        <v>1650</v>
      </c>
      <c r="J7" s="25">
        <v>4500</v>
      </c>
      <c r="K7" s="58"/>
    </row>
    <row r="8" s="1" customFormat="1" customHeight="1" spans="1:11">
      <c r="A8" s="23">
        <v>1.2</v>
      </c>
      <c r="B8" s="24" t="s">
        <v>373</v>
      </c>
      <c r="C8" s="19"/>
      <c r="D8" s="25">
        <f t="shared" ref="D8:D10" si="3">I8*J8/10000</f>
        <v>26.4</v>
      </c>
      <c r="E8" s="20"/>
      <c r="F8" s="18"/>
      <c r="G8" s="25">
        <f t="shared" si="2"/>
        <v>26.4</v>
      </c>
      <c r="H8" s="48" t="s">
        <v>16</v>
      </c>
      <c r="I8" s="25">
        <v>1650</v>
      </c>
      <c r="J8" s="25">
        <v>160</v>
      </c>
      <c r="K8" s="58"/>
    </row>
    <row r="9" s="1" customFormat="1" customHeight="1" spans="1:11">
      <c r="A9" s="23">
        <v>1.3</v>
      </c>
      <c r="B9" s="24" t="s">
        <v>181</v>
      </c>
      <c r="C9" s="19"/>
      <c r="D9" s="25">
        <f t="shared" si="3"/>
        <v>23.1</v>
      </c>
      <c r="E9" s="20"/>
      <c r="F9" s="18"/>
      <c r="G9" s="25">
        <f t="shared" si="2"/>
        <v>23.1</v>
      </c>
      <c r="H9" s="48" t="s">
        <v>16</v>
      </c>
      <c r="I9" s="25">
        <v>1650</v>
      </c>
      <c r="J9" s="25">
        <v>140</v>
      </c>
      <c r="K9" s="58"/>
    </row>
    <row r="10" s="1" customFormat="1" customHeight="1" spans="1:11">
      <c r="A10" s="23">
        <v>1.4</v>
      </c>
      <c r="B10" s="24" t="s">
        <v>273</v>
      </c>
      <c r="C10" s="19"/>
      <c r="D10" s="25">
        <f t="shared" si="3"/>
        <v>39.6</v>
      </c>
      <c r="E10" s="20"/>
      <c r="F10" s="18"/>
      <c r="G10" s="25">
        <f t="shared" si="2"/>
        <v>39.6</v>
      </c>
      <c r="H10" s="48" t="s">
        <v>16</v>
      </c>
      <c r="I10" s="25">
        <v>1650</v>
      </c>
      <c r="J10" s="25">
        <v>240</v>
      </c>
      <c r="K10" s="58"/>
    </row>
    <row r="11" s="1" customFormat="1" customHeight="1" spans="1:11">
      <c r="A11" s="21">
        <v>2</v>
      </c>
      <c r="B11" s="22" t="s">
        <v>276</v>
      </c>
      <c r="C11" s="19">
        <f t="shared" ref="C11:G11" si="4">SUM(C12:C30)</f>
        <v>1177.51</v>
      </c>
      <c r="D11" s="19">
        <f t="shared" si="4"/>
        <v>145.45</v>
      </c>
      <c r="E11" s="19"/>
      <c r="F11" s="19"/>
      <c r="G11" s="19">
        <f t="shared" si="4"/>
        <v>1322.96</v>
      </c>
      <c r="H11" s="18"/>
      <c r="I11" s="20"/>
      <c r="J11" s="18"/>
      <c r="K11" s="58"/>
    </row>
    <row r="12" s="1" customFormat="1" customHeight="1" spans="1:11">
      <c r="A12" s="26">
        <v>2.1</v>
      </c>
      <c r="B12" s="24" t="s">
        <v>132</v>
      </c>
      <c r="C12" s="25">
        <f t="shared" ref="C12:C16" si="5">I12*J12/10000</f>
        <v>20</v>
      </c>
      <c r="D12" s="20"/>
      <c r="E12" s="20"/>
      <c r="F12" s="18"/>
      <c r="G12" s="25">
        <f t="shared" ref="G12:G30" si="6">SUM(C12:F12)</f>
        <v>20</v>
      </c>
      <c r="H12" s="48" t="s">
        <v>224</v>
      </c>
      <c r="I12" s="20">
        <v>1</v>
      </c>
      <c r="J12" s="20">
        <v>200000</v>
      </c>
      <c r="K12" s="58"/>
    </row>
    <row r="13" s="2" customFormat="1" customHeight="1" spans="1:11">
      <c r="A13" s="26">
        <v>2.3</v>
      </c>
      <c r="B13" s="3" t="s">
        <v>285</v>
      </c>
      <c r="C13" s="27"/>
      <c r="D13" s="25">
        <f t="shared" ref="D13:D21" si="7">I13*J13/10000</f>
        <v>33.75</v>
      </c>
      <c r="E13" s="25"/>
      <c r="F13" s="49"/>
      <c r="G13" s="25">
        <f t="shared" si="6"/>
        <v>33.75</v>
      </c>
      <c r="H13" s="48" t="s">
        <v>199</v>
      </c>
      <c r="I13" s="25">
        <v>2500</v>
      </c>
      <c r="J13" s="25">
        <v>135</v>
      </c>
      <c r="K13" s="59"/>
    </row>
    <row r="14" s="2" customFormat="1" customHeight="1" spans="1:17">
      <c r="A14" s="26">
        <v>2.4</v>
      </c>
      <c r="B14" s="3" t="s">
        <v>374</v>
      </c>
      <c r="C14" s="27">
        <f t="shared" si="5"/>
        <v>20.8</v>
      </c>
      <c r="D14" s="25"/>
      <c r="E14" s="25"/>
      <c r="F14" s="49"/>
      <c r="G14" s="25">
        <f t="shared" si="6"/>
        <v>20.8</v>
      </c>
      <c r="H14" s="48" t="s">
        <v>65</v>
      </c>
      <c r="I14" s="25">
        <v>260</v>
      </c>
      <c r="J14" s="25">
        <v>800</v>
      </c>
      <c r="K14" s="59"/>
      <c r="Q14" s="2" t="s">
        <v>375</v>
      </c>
    </row>
    <row r="15" s="2" customFormat="1" customHeight="1" spans="1:11">
      <c r="A15" s="26">
        <v>2.5</v>
      </c>
      <c r="B15" s="3" t="s">
        <v>200</v>
      </c>
      <c r="C15" s="27">
        <f>I17*J17/10000</f>
        <v>0.8</v>
      </c>
      <c r="D15" s="25"/>
      <c r="E15" s="25"/>
      <c r="F15" s="49"/>
      <c r="G15" s="25">
        <f t="shared" si="6"/>
        <v>0.8</v>
      </c>
      <c r="H15" s="48" t="s">
        <v>199</v>
      </c>
      <c r="I15" s="25">
        <v>3</v>
      </c>
      <c r="J15" s="25">
        <v>1000</v>
      </c>
      <c r="K15" s="59"/>
    </row>
    <row r="16" s="2" customFormat="1" customHeight="1" spans="1:11">
      <c r="A16" s="26">
        <v>2.6</v>
      </c>
      <c r="B16" s="3" t="s">
        <v>376</v>
      </c>
      <c r="C16" s="27">
        <f t="shared" si="5"/>
        <v>0.9</v>
      </c>
      <c r="D16" s="25"/>
      <c r="E16" s="25"/>
      <c r="F16" s="49"/>
      <c r="G16" s="25">
        <f t="shared" si="6"/>
        <v>0.9</v>
      </c>
      <c r="H16" s="48" t="s">
        <v>199</v>
      </c>
      <c r="I16" s="25">
        <v>3</v>
      </c>
      <c r="J16" s="25">
        <v>3000</v>
      </c>
      <c r="K16" s="59"/>
    </row>
    <row r="17" s="2" customFormat="1" customHeight="1" spans="1:11">
      <c r="A17" s="26">
        <v>2.74</v>
      </c>
      <c r="B17" s="3" t="s">
        <v>377</v>
      </c>
      <c r="C17" s="27"/>
      <c r="D17" s="25">
        <f t="shared" si="7"/>
        <v>0.8</v>
      </c>
      <c r="E17" s="25"/>
      <c r="F17" s="49"/>
      <c r="G17" s="25">
        <f t="shared" si="6"/>
        <v>0.8</v>
      </c>
      <c r="H17" s="48" t="s">
        <v>123</v>
      </c>
      <c r="I17" s="25">
        <v>1</v>
      </c>
      <c r="J17" s="25">
        <v>8000</v>
      </c>
      <c r="K17" s="59"/>
    </row>
    <row r="18" s="2" customFormat="1" customHeight="1" spans="1:11">
      <c r="A18" s="26">
        <v>2.8</v>
      </c>
      <c r="B18" s="3" t="s">
        <v>378</v>
      </c>
      <c r="C18" s="27"/>
      <c r="D18" s="25">
        <f t="shared" si="7"/>
        <v>14</v>
      </c>
      <c r="E18" s="25"/>
      <c r="F18" s="49"/>
      <c r="G18" s="25">
        <f t="shared" si="6"/>
        <v>14</v>
      </c>
      <c r="H18" s="48" t="s">
        <v>199</v>
      </c>
      <c r="I18" s="25">
        <v>4</v>
      </c>
      <c r="J18" s="25">
        <v>35000</v>
      </c>
      <c r="K18" s="59"/>
    </row>
    <row r="19" s="2" customFormat="1" customHeight="1" spans="1:11">
      <c r="A19" s="26">
        <v>2.9</v>
      </c>
      <c r="B19" s="3" t="s">
        <v>330</v>
      </c>
      <c r="C19" s="27"/>
      <c r="D19" s="25">
        <f t="shared" si="7"/>
        <v>5</v>
      </c>
      <c r="E19" s="25"/>
      <c r="F19" s="49"/>
      <c r="G19" s="25">
        <f t="shared" si="6"/>
        <v>5</v>
      </c>
      <c r="H19" s="48" t="s">
        <v>224</v>
      </c>
      <c r="I19" s="25">
        <v>1</v>
      </c>
      <c r="J19" s="25">
        <v>50000</v>
      </c>
      <c r="K19" s="59"/>
    </row>
    <row r="20" s="2" customFormat="1" customHeight="1" spans="1:11">
      <c r="A20" s="28">
        <v>2.1</v>
      </c>
      <c r="B20" s="3" t="s">
        <v>379</v>
      </c>
      <c r="C20" s="27"/>
      <c r="D20" s="25">
        <f t="shared" si="7"/>
        <v>1.5</v>
      </c>
      <c r="E20" s="25"/>
      <c r="F20" s="49"/>
      <c r="G20" s="25">
        <f t="shared" si="6"/>
        <v>1.5</v>
      </c>
      <c r="H20" s="48" t="s">
        <v>213</v>
      </c>
      <c r="I20" s="25">
        <v>1</v>
      </c>
      <c r="J20" s="25">
        <v>15000</v>
      </c>
      <c r="K20" s="59"/>
    </row>
    <row r="21" s="3" customFormat="1" customHeight="1" spans="1:11">
      <c r="A21" s="28">
        <v>2.11</v>
      </c>
      <c r="B21" s="3" t="s">
        <v>380</v>
      </c>
      <c r="D21" s="29">
        <f t="shared" si="7"/>
        <v>72</v>
      </c>
      <c r="E21" s="29"/>
      <c r="F21" s="29"/>
      <c r="G21" s="29">
        <f t="shared" si="6"/>
        <v>72</v>
      </c>
      <c r="H21" s="50" t="s">
        <v>16</v>
      </c>
      <c r="I21" s="29">
        <v>1200</v>
      </c>
      <c r="J21" s="25">
        <v>600</v>
      </c>
      <c r="K21" s="29"/>
    </row>
    <row r="22" s="2" customFormat="1" customHeight="1" spans="1:11">
      <c r="A22" s="28">
        <v>2.12</v>
      </c>
      <c r="B22" s="24" t="s">
        <v>381</v>
      </c>
      <c r="C22" s="27">
        <f t="shared" ref="C22:C29" si="8">I22*J22/10000</f>
        <v>504</v>
      </c>
      <c r="D22" s="25"/>
      <c r="E22" s="25"/>
      <c r="F22" s="49"/>
      <c r="G22" s="25">
        <f t="shared" si="6"/>
        <v>504</v>
      </c>
      <c r="H22" s="48" t="s">
        <v>16</v>
      </c>
      <c r="I22" s="25">
        <v>18000</v>
      </c>
      <c r="J22" s="25">
        <v>280</v>
      </c>
      <c r="K22" s="59"/>
    </row>
    <row r="23" s="4" customFormat="1" customHeight="1" spans="1:17">
      <c r="A23" s="28">
        <v>2.13</v>
      </c>
      <c r="B23" s="3" t="s">
        <v>382</v>
      </c>
      <c r="C23" s="27">
        <f t="shared" si="8"/>
        <v>172.8</v>
      </c>
      <c r="D23" s="25"/>
      <c r="E23" s="25"/>
      <c r="F23" s="49"/>
      <c r="G23" s="25">
        <f t="shared" si="6"/>
        <v>172.8</v>
      </c>
      <c r="H23" s="48" t="s">
        <v>63</v>
      </c>
      <c r="I23" s="25">
        <v>3600</v>
      </c>
      <c r="J23" s="25">
        <v>480</v>
      </c>
      <c r="K23" s="59"/>
      <c r="Q23" s="4">
        <f>18000*0.2</f>
        <v>3600</v>
      </c>
    </row>
    <row r="24" s="4" customFormat="1" customHeight="1" spans="1:11">
      <c r="A24" s="28">
        <v>2.14</v>
      </c>
      <c r="B24" s="3" t="s">
        <v>383</v>
      </c>
      <c r="C24" s="27">
        <f t="shared" si="8"/>
        <v>210</v>
      </c>
      <c r="D24" s="25"/>
      <c r="E24" s="25"/>
      <c r="F24" s="49"/>
      <c r="G24" s="25">
        <f t="shared" si="6"/>
        <v>210</v>
      </c>
      <c r="H24" s="48" t="s">
        <v>16</v>
      </c>
      <c r="I24" s="25">
        <v>7500</v>
      </c>
      <c r="J24" s="25">
        <v>280</v>
      </c>
      <c r="K24" s="59"/>
    </row>
    <row r="25" s="4" customFormat="1" customHeight="1" spans="1:11">
      <c r="A25" s="28">
        <v>2.15</v>
      </c>
      <c r="B25" s="3" t="s">
        <v>320</v>
      </c>
      <c r="C25" s="27">
        <f t="shared" si="8"/>
        <v>104.5</v>
      </c>
      <c r="D25" s="25"/>
      <c r="E25" s="25"/>
      <c r="F25" s="49"/>
      <c r="G25" s="25">
        <f t="shared" si="6"/>
        <v>104.5</v>
      </c>
      <c r="H25" s="48" t="s">
        <v>16</v>
      </c>
      <c r="I25" s="25">
        <v>9500</v>
      </c>
      <c r="J25" s="25">
        <v>110</v>
      </c>
      <c r="K25" s="59"/>
    </row>
    <row r="26" s="4" customFormat="1" customHeight="1" spans="1:11">
      <c r="A26" s="28">
        <v>2.16</v>
      </c>
      <c r="B26" s="3" t="s">
        <v>384</v>
      </c>
      <c r="C26" s="27">
        <f t="shared" si="8"/>
        <v>103.5</v>
      </c>
      <c r="D26" s="25"/>
      <c r="E26" s="25"/>
      <c r="F26" s="49"/>
      <c r="G26" s="25">
        <f t="shared" si="6"/>
        <v>103.5</v>
      </c>
      <c r="H26" s="48" t="s">
        <v>16</v>
      </c>
      <c r="I26" s="25">
        <v>4500</v>
      </c>
      <c r="J26" s="25">
        <v>230</v>
      </c>
      <c r="K26" s="59"/>
    </row>
    <row r="27" s="4" customFormat="1" customHeight="1" spans="1:11">
      <c r="A27" s="28">
        <v>2.17</v>
      </c>
      <c r="B27" s="3" t="s">
        <v>191</v>
      </c>
      <c r="C27" s="30">
        <f t="shared" si="8"/>
        <v>19.25</v>
      </c>
      <c r="D27" s="24"/>
      <c r="E27" s="24"/>
      <c r="F27" s="24"/>
      <c r="G27" s="30">
        <f t="shared" si="6"/>
        <v>19.25</v>
      </c>
      <c r="H27" s="51" t="s">
        <v>16</v>
      </c>
      <c r="I27" s="30">
        <v>550</v>
      </c>
      <c r="J27" s="30">
        <v>350</v>
      </c>
      <c r="K27" s="59"/>
    </row>
    <row r="28" s="4" customFormat="1" customHeight="1" spans="1:11">
      <c r="A28" s="28">
        <v>2.18</v>
      </c>
      <c r="B28" s="3" t="s">
        <v>385</v>
      </c>
      <c r="C28" s="27">
        <f t="shared" si="8"/>
        <v>15.2</v>
      </c>
      <c r="D28" s="25"/>
      <c r="E28" s="25"/>
      <c r="F28" s="49"/>
      <c r="G28" s="25">
        <f t="shared" si="6"/>
        <v>15.2</v>
      </c>
      <c r="H28" s="48" t="s">
        <v>65</v>
      </c>
      <c r="I28" s="25">
        <v>380</v>
      </c>
      <c r="J28" s="25">
        <v>400</v>
      </c>
      <c r="K28" s="59"/>
    </row>
    <row r="29" s="4" customFormat="1" customHeight="1" spans="1:19">
      <c r="A29" s="28">
        <v>2.19</v>
      </c>
      <c r="B29" s="3" t="s">
        <v>386</v>
      </c>
      <c r="C29" s="27">
        <f t="shared" si="8"/>
        <v>5.76</v>
      </c>
      <c r="D29" s="25"/>
      <c r="E29" s="25"/>
      <c r="F29" s="49"/>
      <c r="G29" s="25">
        <f t="shared" si="6"/>
        <v>5.76</v>
      </c>
      <c r="H29" s="48" t="s">
        <v>16</v>
      </c>
      <c r="I29" s="25">
        <v>160</v>
      </c>
      <c r="J29" s="25">
        <v>360</v>
      </c>
      <c r="K29" s="59"/>
      <c r="Q29" s="3">
        <f>86400000/10000</f>
        <v>8640</v>
      </c>
      <c r="R29" s="3">
        <f>服务基础教育信息技术应用大楼!I50</f>
        <v>6458.35819830888</v>
      </c>
      <c r="S29" s="3">
        <f t="shared" ref="S29:S31" si="9">Q29-R29</f>
        <v>2181.64180169112</v>
      </c>
    </row>
    <row r="30" s="4" customFormat="1" customHeight="1" spans="1:19">
      <c r="A30" s="28">
        <v>2.2</v>
      </c>
      <c r="B30" s="3" t="s">
        <v>282</v>
      </c>
      <c r="C30" s="27"/>
      <c r="D30" s="25">
        <f>I30*J30/10000</f>
        <v>18.4</v>
      </c>
      <c r="E30" s="25"/>
      <c r="F30" s="49"/>
      <c r="G30" s="25">
        <f t="shared" si="6"/>
        <v>18.4</v>
      </c>
      <c r="H30" s="48" t="s">
        <v>16</v>
      </c>
      <c r="I30" s="25">
        <v>2300</v>
      </c>
      <c r="J30" s="25">
        <v>80</v>
      </c>
      <c r="K30" s="59"/>
      <c r="Q30" s="3">
        <f>39200000/10000</f>
        <v>3920</v>
      </c>
      <c r="R30" s="3">
        <f>G46</f>
        <v>2633.1224634</v>
      </c>
      <c r="S30" s="3">
        <f t="shared" si="9"/>
        <v>1286.8775366</v>
      </c>
    </row>
    <row r="31" s="5" customFormat="1" customHeight="1" spans="1:19">
      <c r="A31" s="31" t="s">
        <v>17</v>
      </c>
      <c r="B31" s="32" t="s">
        <v>18</v>
      </c>
      <c r="C31" s="19"/>
      <c r="D31" s="33"/>
      <c r="E31" s="33"/>
      <c r="F31" s="20">
        <f>SUM(F32:F44)</f>
        <v>239.187694</v>
      </c>
      <c r="G31" s="20">
        <f>SUM(G32:G44)</f>
        <v>239.187694</v>
      </c>
      <c r="H31" s="52" t="s">
        <v>130</v>
      </c>
      <c r="I31" s="60"/>
      <c r="J31" s="61"/>
      <c r="K31" s="58">
        <f>G31/G46</f>
        <v>0.0908380439287091</v>
      </c>
      <c r="Q31" s="3">
        <f>Q29+Q30</f>
        <v>12560</v>
      </c>
      <c r="R31" s="3">
        <f>R29+R30</f>
        <v>9091.48066170888</v>
      </c>
      <c r="S31" s="3">
        <f t="shared" si="9"/>
        <v>3468.51933829112</v>
      </c>
    </row>
    <row r="32" s="2" customFormat="1" customHeight="1" spans="1:19">
      <c r="A32" s="34">
        <v>1</v>
      </c>
      <c r="B32" s="35" t="s">
        <v>144</v>
      </c>
      <c r="C32" s="27"/>
      <c r="D32" s="36"/>
      <c r="E32" s="36"/>
      <c r="F32" s="25">
        <f t="shared" ref="F32:F36" si="10">I32*J32</f>
        <v>32.3184</v>
      </c>
      <c r="G32" s="25">
        <f t="shared" ref="G32:G45" si="11">F32</f>
        <v>32.3184</v>
      </c>
      <c r="H32" s="48" t="s">
        <v>130</v>
      </c>
      <c r="I32" s="25">
        <f>G5</f>
        <v>2154.56</v>
      </c>
      <c r="J32" s="62">
        <v>0.015</v>
      </c>
      <c r="K32" s="63"/>
      <c r="L32" s="64"/>
      <c r="Q32" s="3"/>
      <c r="R32" s="3"/>
      <c r="S32" s="3"/>
    </row>
    <row r="33" s="2" customFormat="1" customHeight="1" spans="1:19">
      <c r="A33" s="34">
        <v>2</v>
      </c>
      <c r="B33" s="35" t="s">
        <v>146</v>
      </c>
      <c r="C33" s="27"/>
      <c r="D33" s="25"/>
      <c r="E33" s="25"/>
      <c r="F33" s="25">
        <f>((I33-1000)*(78.1-30.1)/2000+30.1)</f>
        <v>57.80944</v>
      </c>
      <c r="G33" s="25">
        <f t="shared" si="11"/>
        <v>57.80944</v>
      </c>
      <c r="H33" s="48" t="s">
        <v>130</v>
      </c>
      <c r="I33" s="25">
        <f>G5</f>
        <v>2154.56</v>
      </c>
      <c r="J33" s="62">
        <f>G33/I33</f>
        <v>0.026831204515075</v>
      </c>
      <c r="K33" s="59"/>
      <c r="Q33" s="73"/>
      <c r="R33" s="73"/>
      <c r="S33" s="73"/>
    </row>
    <row r="34" s="2" customFormat="1" customHeight="1" spans="1:11">
      <c r="A34" s="34">
        <v>3</v>
      </c>
      <c r="B34" s="35" t="s">
        <v>289</v>
      </c>
      <c r="C34" s="27"/>
      <c r="D34" s="25"/>
      <c r="E34" s="25"/>
      <c r="F34" s="25">
        <f t="shared" si="10"/>
        <v>7.54096</v>
      </c>
      <c r="G34" s="25">
        <f t="shared" si="11"/>
        <v>7.54096</v>
      </c>
      <c r="H34" s="48" t="s">
        <v>130</v>
      </c>
      <c r="I34" s="25">
        <f>G5</f>
        <v>2154.56</v>
      </c>
      <c r="J34" s="62">
        <v>0.0035</v>
      </c>
      <c r="K34" s="59"/>
    </row>
    <row r="35" s="2" customFormat="1" customHeight="1" spans="1:11">
      <c r="A35" s="34">
        <v>4</v>
      </c>
      <c r="B35" s="35" t="s">
        <v>290</v>
      </c>
      <c r="C35" s="27"/>
      <c r="D35" s="25"/>
      <c r="E35" s="25"/>
      <c r="F35" s="25">
        <f t="shared" si="10"/>
        <v>11.634624</v>
      </c>
      <c r="G35" s="25">
        <f t="shared" si="11"/>
        <v>11.634624</v>
      </c>
      <c r="H35" s="48" t="s">
        <v>130</v>
      </c>
      <c r="I35" s="25">
        <f>G5</f>
        <v>2154.56</v>
      </c>
      <c r="J35" s="62">
        <v>0.0054</v>
      </c>
      <c r="K35" s="59"/>
    </row>
    <row r="36" s="2" customFormat="1" customHeight="1" spans="1:11">
      <c r="A36" s="34">
        <v>5</v>
      </c>
      <c r="B36" s="35" t="s">
        <v>292</v>
      </c>
      <c r="C36" s="27"/>
      <c r="D36" s="25"/>
      <c r="E36" s="25"/>
      <c r="F36" s="25">
        <f t="shared" si="10"/>
        <v>4.30912</v>
      </c>
      <c r="G36" s="25">
        <f t="shared" si="11"/>
        <v>4.30912</v>
      </c>
      <c r="H36" s="48" t="s">
        <v>130</v>
      </c>
      <c r="I36" s="25">
        <f>G5</f>
        <v>2154.56</v>
      </c>
      <c r="J36" s="62">
        <v>0.002</v>
      </c>
      <c r="K36" s="59"/>
    </row>
    <row r="37" s="6" customFormat="1" customHeight="1" spans="1:18">
      <c r="A37" s="34">
        <v>6</v>
      </c>
      <c r="B37" s="37" t="s">
        <v>364</v>
      </c>
      <c r="C37" s="38"/>
      <c r="D37" s="39"/>
      <c r="E37" s="39"/>
      <c r="F37" s="39">
        <f>((I37-1000)*(12-5)/2000+5)</f>
        <v>9.04096</v>
      </c>
      <c r="G37" s="25">
        <f t="shared" si="11"/>
        <v>9.04096</v>
      </c>
      <c r="H37" s="53" t="s">
        <v>130</v>
      </c>
      <c r="I37" s="39">
        <f>G5</f>
        <v>2154.56</v>
      </c>
      <c r="J37" s="65">
        <v>0.003</v>
      </c>
      <c r="K37" s="66"/>
      <c r="N37" s="72"/>
      <c r="R37" s="72"/>
    </row>
    <row r="38" s="6" customFormat="1" customHeight="1" spans="1:11">
      <c r="A38" s="34">
        <v>7</v>
      </c>
      <c r="B38" s="37" t="s">
        <v>147</v>
      </c>
      <c r="C38" s="38"/>
      <c r="D38" s="39"/>
      <c r="E38" s="39"/>
      <c r="F38" s="39">
        <f>((I38-1000)*(103.8-38.8)/2000+38.8)</f>
        <v>76.3232</v>
      </c>
      <c r="G38" s="25">
        <f t="shared" si="11"/>
        <v>76.3232</v>
      </c>
      <c r="H38" s="53" t="s">
        <v>130</v>
      </c>
      <c r="I38" s="39">
        <f>G5</f>
        <v>2154.56</v>
      </c>
      <c r="J38" s="65">
        <v>0.025</v>
      </c>
      <c r="K38" s="66"/>
    </row>
    <row r="39" s="6" customFormat="1" customHeight="1" spans="1:11">
      <c r="A39" s="34">
        <v>8</v>
      </c>
      <c r="B39" s="37" t="s">
        <v>216</v>
      </c>
      <c r="C39" s="38"/>
      <c r="D39" s="39"/>
      <c r="E39" s="39"/>
      <c r="F39" s="39">
        <f>I39*J39</f>
        <v>6.84723</v>
      </c>
      <c r="G39" s="25">
        <f t="shared" si="11"/>
        <v>6.84723</v>
      </c>
      <c r="H39" s="53" t="s">
        <v>130</v>
      </c>
      <c r="I39" s="39">
        <v>4564.82</v>
      </c>
      <c r="J39" s="65">
        <v>0.0015</v>
      </c>
      <c r="K39" s="66"/>
    </row>
    <row r="40" s="2" customFormat="1" customHeight="1" spans="1:12">
      <c r="A40" s="34">
        <v>9</v>
      </c>
      <c r="B40" s="35" t="s">
        <v>300</v>
      </c>
      <c r="C40" s="27"/>
      <c r="D40" s="25"/>
      <c r="E40" s="25"/>
      <c r="F40" s="25">
        <f>1+2.8+2.75+(I40-1000)*0.0035</f>
        <v>10.59096</v>
      </c>
      <c r="G40" s="25">
        <f t="shared" si="11"/>
        <v>10.59096</v>
      </c>
      <c r="H40" s="48" t="s">
        <v>130</v>
      </c>
      <c r="I40" s="25">
        <f>G5</f>
        <v>2154.56</v>
      </c>
      <c r="J40" s="62">
        <v>0.0073</v>
      </c>
      <c r="K40" s="59"/>
      <c r="L40" s="64"/>
    </row>
    <row r="41" s="2" customFormat="1" customHeight="1" spans="1:12">
      <c r="A41" s="34">
        <v>10</v>
      </c>
      <c r="B41" s="35" t="s">
        <v>223</v>
      </c>
      <c r="C41" s="27"/>
      <c r="D41" s="25"/>
      <c r="E41" s="25"/>
      <c r="F41" s="25">
        <f t="shared" ref="F41:F43" si="12">J41/10000</f>
        <v>2</v>
      </c>
      <c r="G41" s="25">
        <f t="shared" si="11"/>
        <v>2</v>
      </c>
      <c r="H41" s="48" t="s">
        <v>130</v>
      </c>
      <c r="I41" s="25">
        <v>1</v>
      </c>
      <c r="J41" s="25">
        <v>20000</v>
      </c>
      <c r="K41" s="59"/>
      <c r="L41" s="64"/>
    </row>
    <row r="42" s="2" customFormat="1" customHeight="1" spans="1:12">
      <c r="A42" s="34">
        <v>11</v>
      </c>
      <c r="B42" s="35" t="s">
        <v>369</v>
      </c>
      <c r="C42" s="27"/>
      <c r="D42" s="25"/>
      <c r="E42" s="25"/>
      <c r="F42" s="25">
        <f t="shared" si="12"/>
        <v>5</v>
      </c>
      <c r="G42" s="25">
        <f t="shared" si="11"/>
        <v>5</v>
      </c>
      <c r="H42" s="48" t="s">
        <v>130</v>
      </c>
      <c r="I42" s="25">
        <v>1</v>
      </c>
      <c r="J42" s="67">
        <v>50000</v>
      </c>
      <c r="K42" s="59"/>
      <c r="L42" s="64"/>
    </row>
    <row r="43" s="2" customFormat="1" customHeight="1" spans="1:12">
      <c r="A43" s="34">
        <v>12</v>
      </c>
      <c r="B43" s="35" t="s">
        <v>368</v>
      </c>
      <c r="C43" s="27"/>
      <c r="D43" s="25"/>
      <c r="E43" s="25"/>
      <c r="F43" s="25">
        <f t="shared" si="12"/>
        <v>5</v>
      </c>
      <c r="G43" s="25">
        <f t="shared" si="11"/>
        <v>5</v>
      </c>
      <c r="H43" s="48" t="s">
        <v>130</v>
      </c>
      <c r="I43" s="25">
        <v>1</v>
      </c>
      <c r="J43" s="25">
        <v>50000</v>
      </c>
      <c r="K43" s="59"/>
      <c r="L43" s="64"/>
    </row>
    <row r="44" s="2" customFormat="1" customHeight="1" spans="1:12">
      <c r="A44" s="34">
        <v>13</v>
      </c>
      <c r="B44" s="35" t="s">
        <v>218</v>
      </c>
      <c r="C44" s="27"/>
      <c r="D44" s="25"/>
      <c r="E44" s="25"/>
      <c r="F44" s="25">
        <f>I44*J44</f>
        <v>10.7728</v>
      </c>
      <c r="G44" s="25">
        <f t="shared" si="11"/>
        <v>10.7728</v>
      </c>
      <c r="H44" s="48" t="s">
        <v>130</v>
      </c>
      <c r="I44" s="25">
        <f>G5</f>
        <v>2154.56</v>
      </c>
      <c r="J44" s="62">
        <v>0.005</v>
      </c>
      <c r="K44" s="59"/>
      <c r="L44" s="64"/>
    </row>
    <row r="45" s="5" customFormat="1" customHeight="1" spans="1:11">
      <c r="A45" s="31" t="s">
        <v>19</v>
      </c>
      <c r="B45" s="40" t="s">
        <v>25</v>
      </c>
      <c r="C45" s="19"/>
      <c r="D45" s="20"/>
      <c r="E45" s="20"/>
      <c r="F45" s="20">
        <f>I45*J45</f>
        <v>239.3747694</v>
      </c>
      <c r="G45" s="20">
        <f t="shared" si="11"/>
        <v>239.3747694</v>
      </c>
      <c r="H45" s="52" t="s">
        <v>130</v>
      </c>
      <c r="I45" s="20">
        <f>G31+G5</f>
        <v>2393.747694</v>
      </c>
      <c r="J45" s="68">
        <v>0.1</v>
      </c>
      <c r="K45" s="69">
        <f>G45/G46</f>
        <v>0.0909090909090909</v>
      </c>
    </row>
    <row r="46" s="5" customFormat="1" customHeight="1" spans="1:11">
      <c r="A46" s="41" t="s">
        <v>21</v>
      </c>
      <c r="B46" s="42" t="s">
        <v>22</v>
      </c>
      <c r="C46" s="43">
        <f>C5</f>
        <v>1920.01</v>
      </c>
      <c r="D46" s="43">
        <f>D5</f>
        <v>234.55</v>
      </c>
      <c r="E46" s="54"/>
      <c r="F46" s="54">
        <f>F31+F45</f>
        <v>478.5624634</v>
      </c>
      <c r="G46" s="54">
        <f>G5+G31+G45</f>
        <v>2633.1224634</v>
      </c>
      <c r="H46" s="55" t="s">
        <v>130</v>
      </c>
      <c r="I46" s="70"/>
      <c r="J46" s="70"/>
      <c r="K46" s="71">
        <v>1</v>
      </c>
    </row>
  </sheetData>
  <mergeCells count="6">
    <mergeCell ref="A1:K1"/>
    <mergeCell ref="A2:K2"/>
    <mergeCell ref="C3:G3"/>
    <mergeCell ref="H3:J3"/>
    <mergeCell ref="A3:A4"/>
    <mergeCell ref="B3:B4"/>
  </mergeCells>
  <pageMargins left="0.590277777777778" right="0.590277777777778" top="0.590277777777778" bottom="0.590277777777778" header="0.5" footer="0.5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汇总表</vt:lpstr>
      <vt:lpstr>服务基础教育信息技术应用大楼</vt:lpstr>
      <vt:lpstr>服务基础教育信息技术应用大楼 (2)</vt:lpstr>
      <vt:lpstr>宁夏师范学院风雨操场项目 (3)</vt:lpstr>
      <vt:lpstr>成本测算</vt:lpstr>
      <vt:lpstr>标准运动场项目 (3)</vt:lpstr>
      <vt:lpstr>宁夏师范学院风雨操场项目 (2)</vt:lpstr>
      <vt:lpstr>标准运动场项目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王荷</cp:lastModifiedBy>
  <dcterms:created xsi:type="dcterms:W3CDTF">2022-09-05T21:23:00Z</dcterms:created>
  <dcterms:modified xsi:type="dcterms:W3CDTF">2025-03-13T18:08:15Z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F6FDF6B80C181ED0B6F9D0676EBEEF4F_43</vt:lpwstr>
  </property>
  <property fmtid="{D5CDD505-2E9C-101B-9397-08002B2CF9AE}" pid="3" name="KSOProductBuildVer">
    <vt:lpwstr>2052-12.8.2.1119</vt:lpwstr>
  </property>
  <property fmtid="{D5CDD505-2E9C-101B-9397-08002B2CF9AE}" pid="4" name="KSOReadingLayout">
    <vt:bool>false</vt:bool>
  </property>
</Properties>
</file>